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comments/comment1.xml" ContentType="application/vnd.openxmlformats-officedocument.spreadsheetml.comment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How To Use" sheetId="1" state="visible" r:id="rId1"/>
    <sheet name="Payoff Calculator" sheetId="2" state="visible" r:id="rId2"/>
    <sheet name="Payoff Table" sheetId="3" state="visible" r:id="rId3"/>
    <sheet name="Strategy Library" sheetId="4" state="visible" r:id="rId4"/>
    <sheet name="Position Sizing" sheetId="5" state="visible" r:id="rId5"/>
    <sheet name="Leg Detail" sheetId="6" state="visible" r:id="rId6"/>
    <sheet name="Breakeven Solver" sheetId="7" state="visible" r:id="rId7"/>
  </sheets>
  <definedNames/>
  <calcPr calcId="124519" fullCalcOnLoad="1"/>
</workbook>
</file>

<file path=xl/styles.xml><?xml version="1.0" encoding="utf-8"?>
<styleSheet xmlns="http://schemas.openxmlformats.org/spreadsheetml/2006/main">
  <numFmts count="8">
    <numFmt numFmtId="164" formatCode="&quot;$&quot;#,##0.00"/>
    <numFmt numFmtId="165" formatCode="+0;-0;0"/>
    <numFmt numFmtId="166" formatCode="&quot;$&quot;#,##0.00;[Red]-&quot;$&quot;#,##0.00"/>
    <numFmt numFmtId="167" formatCode="0.0%"/>
    <numFmt numFmtId="168" formatCode="&quot;$&quot;#,##0"/>
    <numFmt numFmtId="169" formatCode="+0.0%;-0.0%"/>
    <numFmt numFmtId="170" formatCode="0.0000"/>
    <numFmt numFmtId="171" formatCode="0.00000"/>
  </numFmts>
  <fonts count="25">
    <font>
      <name val="Calibri"/>
      <family val="2"/>
      <color theme="1"/>
      <sz val="11"/>
      <scheme val="minor"/>
    </font>
    <font>
      <b val="1"/>
      <color rgb="00FFFFFF"/>
      <sz val="15"/>
    </font>
    <font>
      <i val="1"/>
      <color rgb="006B7280"/>
      <sz val="10"/>
    </font>
    <font>
      <sz val="10"/>
    </font>
    <font>
      <b val="1"/>
      <color rgb="00FFFFFF"/>
      <sz val="10"/>
    </font>
    <font>
      <b val="1"/>
      <sz val="10"/>
    </font>
    <font>
      <b val="1"/>
      <color rgb="00FFFFFF"/>
      <sz val="11"/>
    </font>
    <font>
      <i val="1"/>
      <color rgb="006B7280"/>
      <sz val="9"/>
    </font>
    <font>
      <name val="Consolas"/>
      <b val="1"/>
      <sz val="9"/>
    </font>
    <font>
      <color rgb="006B7280"/>
      <sz val="9"/>
    </font>
    <font>
      <i val="1"/>
      <color rgb="000066CC"/>
      <sz val="9"/>
    </font>
    <font>
      <b val="1"/>
    </font>
    <font>
      <name val="Consolas"/>
      <color rgb="006B7280"/>
      <sz val="8"/>
    </font>
    <font>
      <b val="1"/>
      <sz val="11"/>
    </font>
    <font>
      <b val="1"/>
      <color rgb="00003366"/>
      <sz val="11"/>
    </font>
    <font>
      <b val="1"/>
      <color rgb="00D62828"/>
      <sz val="9"/>
    </font>
    <font>
      <b val="1"/>
      <color rgb="002A9D8F"/>
      <sz val="9"/>
    </font>
    <font>
      <b val="1"/>
      <sz val="9"/>
    </font>
    <font>
      <sz val="9"/>
    </font>
    <font>
      <b val="1"/>
      <color rgb="00003366"/>
    </font>
    <font>
      <b val="1"/>
      <color rgb="00003366"/>
      <sz val="12"/>
    </font>
    <font>
      <name val="Calibri"/>
      <color rgb="00000000"/>
      <sz val="9"/>
    </font>
    <font>
      <color rgb="00000000"/>
      <sz val="10"/>
    </font>
    <font>
      <color rgb="002A9D8F"/>
      <sz val="10"/>
    </font>
    <font>
      <b val="1"/>
      <color rgb="00000000"/>
      <sz val="10"/>
    </font>
  </fonts>
  <fills count="7">
    <fill>
      <patternFill/>
    </fill>
    <fill>
      <patternFill patternType="gray125"/>
    </fill>
    <fill>
      <patternFill patternType="solid">
        <fgColor rgb="00003366"/>
      </patternFill>
    </fill>
    <fill>
      <patternFill patternType="solid">
        <fgColor rgb="000066CC"/>
      </patternFill>
    </fill>
    <fill>
      <patternFill patternType="solid">
        <fgColor rgb="00F4F6F8"/>
      </patternFill>
    </fill>
    <fill>
      <patternFill patternType="solid">
        <fgColor rgb="00FFFF00"/>
      </patternFill>
    </fill>
    <fill>
      <patternFill patternType="solid">
        <fgColor rgb="00E6F4F1"/>
      </patternFill>
    </fill>
  </fills>
  <borders count="3">
    <border>
      <left/>
      <right/>
      <top/>
      <bottom/>
      <diagonal/>
    </border>
    <border>
      <left style="thin">
        <color rgb="00E5E7EB"/>
      </left>
      <right style="thin">
        <color rgb="00E5E7EB"/>
      </right>
      <top style="thin">
        <color rgb="00E5E7EB"/>
      </top>
      <bottom style="thin">
        <color rgb="00E5E7EB"/>
      </bottom>
    </border>
    <border>
      <left style="medium">
        <color rgb="00003366"/>
      </left>
      <right style="medium">
        <color rgb="00003366"/>
      </right>
      <top style="medium">
        <color rgb="00003366"/>
      </top>
      <bottom style="medium">
        <color rgb="00003366"/>
      </bottom>
    </border>
  </borders>
  <cellStyleXfs count="1">
    <xf numFmtId="0" fontId="0" fillId="0" borderId="0"/>
  </cellStyleXfs>
  <cellXfs count="92">
    <xf numFmtId="0" fontId="0" fillId="0" borderId="0" pivotButton="0" quotePrefix="0" xfId="0"/>
    <xf numFmtId="0" fontId="1" fillId="2"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0" borderId="0" applyAlignment="1" pivotButton="0" quotePrefix="0" xfId="0">
      <alignment horizontal="left" vertical="center" wrapText="1"/>
    </xf>
    <xf numFmtId="0" fontId="4" fillId="3" borderId="1" applyAlignment="1" pivotButton="0" quotePrefix="0" xfId="0">
      <alignment horizontal="center" vertical="center" wrapText="1"/>
    </xf>
    <xf numFmtId="0" fontId="5" fillId="0" borderId="1" applyAlignment="1" pivotButton="0" quotePrefix="0" xfId="0">
      <alignment horizontal="left" vertical="center" wrapText="1"/>
    </xf>
    <xf numFmtId="0" fontId="3" fillId="0" borderId="1" applyAlignment="1" pivotButton="0" quotePrefix="0" xfId="0">
      <alignment horizontal="left" vertical="center" wrapText="1"/>
    </xf>
    <xf numFmtId="0" fontId="5" fillId="4" borderId="1" applyAlignment="1" pivotButton="0" quotePrefix="0" xfId="0">
      <alignment horizontal="left" vertical="center" wrapText="1"/>
    </xf>
    <xf numFmtId="0" fontId="3" fillId="4" borderId="1" applyAlignment="1" pivotButton="0" quotePrefix="0" xfId="0">
      <alignment horizontal="left" vertical="center" wrapText="1"/>
    </xf>
    <xf numFmtId="0" fontId="6" fillId="3" borderId="0" applyAlignment="1" pivotButton="0" quotePrefix="0" xfId="0">
      <alignment horizontal="left" vertical="center" wrapText="1"/>
    </xf>
    <xf numFmtId="0" fontId="7" fillId="0" borderId="0" applyAlignment="1" pivotButton="0" quotePrefix="0" xfId="0">
      <alignment horizontal="center" vertical="center" wrapText="1"/>
    </xf>
    <xf numFmtId="0" fontId="8" fillId="0" borderId="0" pivotButton="0" quotePrefix="0" xfId="0"/>
    <xf numFmtId="0" fontId="9" fillId="0" borderId="0" applyAlignment="1" pivotButton="0" quotePrefix="0" xfId="0">
      <alignment horizontal="left" vertical="center" wrapText="1"/>
    </xf>
    <xf numFmtId="0" fontId="10" fillId="0" borderId="0" applyAlignment="1" pivotButton="0" quotePrefix="0" xfId="0">
      <alignment horizontal="center" vertical="center" wrapText="1"/>
    </xf>
    <xf numFmtId="164" fontId="11" fillId="5" borderId="2" applyAlignment="1" pivotButton="0" quotePrefix="0" xfId="0">
      <alignment horizontal="center" vertical="center" wrapText="1"/>
    </xf>
    <xf numFmtId="0" fontId="12" fillId="0" borderId="0" applyAlignment="1" pivotButton="0" quotePrefix="0" xfId="0">
      <alignment horizontal="left" vertical="center" wrapText="1"/>
    </xf>
    <xf numFmtId="10" fontId="11" fillId="5" borderId="2" applyAlignment="1" pivotButton="0" quotePrefix="0" xfId="0">
      <alignment horizontal="center" vertical="center" wrapText="1"/>
    </xf>
    <xf numFmtId="1" fontId="11" fillId="5" borderId="2" applyAlignment="1" pivotButton="0" quotePrefix="0" xfId="0">
      <alignment horizontal="center" vertical="center" wrapText="1"/>
    </xf>
    <xf numFmtId="0" fontId="5" fillId="0" borderId="1" pivotButton="0" quotePrefix="0" xfId="0"/>
    <xf numFmtId="0" fontId="11" fillId="5" borderId="1" applyAlignment="1" pivotButton="0" quotePrefix="0" xfId="0">
      <alignment horizontal="center" vertical="center" wrapText="1"/>
    </xf>
    <xf numFmtId="164" fontId="11" fillId="5" borderId="1" applyAlignment="1" pivotButton="0" quotePrefix="0" xfId="0">
      <alignment horizontal="center" vertical="center" wrapText="1"/>
    </xf>
    <xf numFmtId="165" fontId="0" fillId="0" borderId="1" pivotButton="0" quotePrefix="0" xfId="0"/>
    <xf numFmtId="166" fontId="0" fillId="0" borderId="1" pivotButton="0" quotePrefix="0" xfId="0"/>
    <xf numFmtId="164" fontId="0" fillId="0" borderId="1" pivotButton="0" quotePrefix="0" xfId="0"/>
    <xf numFmtId="0" fontId="12" fillId="0" borderId="1" pivotButton="0" quotePrefix="0" xfId="0"/>
    <xf numFmtId="0" fontId="0" fillId="0" borderId="1" pivotButton="0" quotePrefix="0" xfId="0"/>
    <xf numFmtId="166" fontId="13" fillId="4" borderId="1" pivotButton="0" quotePrefix="0" xfId="0"/>
    <xf numFmtId="0" fontId="7" fillId="0" borderId="1" pivotButton="0" quotePrefix="0" xfId="0"/>
    <xf numFmtId="164" fontId="14" fillId="0" borderId="1" applyAlignment="1" pivotButton="0" quotePrefix="0" xfId="0">
      <alignment horizontal="center" vertical="center" wrapText="1"/>
    </xf>
    <xf numFmtId="164" fontId="14" fillId="4" borderId="1" applyAlignment="1" pivotButton="0" quotePrefix="0" xfId="0">
      <alignment horizontal="center" vertical="center" wrapText="1"/>
    </xf>
    <xf numFmtId="0" fontId="0" fillId="4" borderId="1" pivotButton="0" quotePrefix="0" xfId="0"/>
    <xf numFmtId="0" fontId="9" fillId="4" borderId="0" applyAlignment="1" pivotButton="0" quotePrefix="0" xfId="0">
      <alignment horizontal="left" vertical="center" wrapText="1"/>
    </xf>
    <xf numFmtId="0" fontId="0" fillId="4" borderId="0" pivotButton="0" quotePrefix="0" xfId="0"/>
    <xf numFmtId="166" fontId="14" fillId="0" borderId="1" applyAlignment="1" pivotButton="0" quotePrefix="0" xfId="0">
      <alignment horizontal="center" vertical="center" wrapText="1"/>
    </xf>
    <xf numFmtId="4" fontId="14" fillId="4" borderId="1" applyAlignment="1" pivotButton="0" quotePrefix="0" xfId="0">
      <alignment horizontal="center" vertical="center" wrapText="1"/>
    </xf>
    <xf numFmtId="2" fontId="14" fillId="0" borderId="1" applyAlignment="1" pivotButton="0" quotePrefix="0" xfId="0">
      <alignment horizontal="center" vertical="center" wrapText="1"/>
    </xf>
    <xf numFmtId="167" fontId="14" fillId="4" borderId="1" applyAlignment="1" pivotButton="0" quotePrefix="0" xfId="0">
      <alignment horizontal="center" vertical="center" wrapText="1"/>
    </xf>
    <xf numFmtId="168" fontId="5" fillId="0" borderId="1" applyAlignment="1" pivotButton="0" quotePrefix="0" xfId="0">
      <alignment horizontal="center" vertical="center" wrapText="1"/>
    </xf>
    <xf numFmtId="166" fontId="0" fillId="0" borderId="1" applyAlignment="1" pivotButton="0" quotePrefix="0" xfId="0">
      <alignment horizontal="center" vertical="center" wrapText="1"/>
    </xf>
    <xf numFmtId="166" fontId="5" fillId="0" borderId="1" applyAlignment="1" pivotButton="0" quotePrefix="0" xfId="0">
      <alignment horizontal="center" vertical="center" wrapText="1"/>
    </xf>
    <xf numFmtId="167" fontId="0" fillId="0" borderId="1" applyAlignment="1" pivotButton="0" quotePrefix="0" xfId="0">
      <alignment horizontal="center" vertical="center" wrapText="1"/>
    </xf>
    <xf numFmtId="0" fontId="15" fillId="0" borderId="1" applyAlignment="1" pivotButton="0" quotePrefix="0" xfId="0">
      <alignment horizontal="center" vertical="center" wrapText="1"/>
    </xf>
    <xf numFmtId="169" fontId="0" fillId="0" borderId="1" applyAlignment="1" pivotButton="0" quotePrefix="0" xfId="0">
      <alignment horizontal="center" vertical="center" wrapText="1"/>
    </xf>
    <xf numFmtId="168" fontId="5" fillId="4" borderId="1" applyAlignment="1" pivotButton="0" quotePrefix="0" xfId="0">
      <alignment horizontal="center" vertical="center" wrapText="1"/>
    </xf>
    <xf numFmtId="166" fontId="0" fillId="4" borderId="1" applyAlignment="1" pivotButton="0" quotePrefix="0" xfId="0">
      <alignment horizontal="center" vertical="center" wrapText="1"/>
    </xf>
    <xf numFmtId="166" fontId="5" fillId="4" borderId="1" applyAlignment="1" pivotButton="0" quotePrefix="0" xfId="0">
      <alignment horizontal="center" vertical="center" wrapText="1"/>
    </xf>
    <xf numFmtId="167" fontId="0" fillId="4" borderId="1" applyAlignment="1" pivotButton="0" quotePrefix="0" xfId="0">
      <alignment horizontal="center" vertical="center" wrapText="1"/>
    </xf>
    <xf numFmtId="0" fontId="15" fillId="4" borderId="1" applyAlignment="1" pivotButton="0" quotePrefix="0" xfId="0">
      <alignment horizontal="center" vertical="center" wrapText="1"/>
    </xf>
    <xf numFmtId="169" fontId="0" fillId="4" borderId="1" applyAlignment="1" pivotButton="0" quotePrefix="0" xfId="0">
      <alignment horizontal="center" vertical="center" wrapText="1"/>
    </xf>
    <xf numFmtId="0" fontId="16" fillId="4" borderId="1" applyAlignment="1" pivotButton="0" quotePrefix="0" xfId="0">
      <alignment horizontal="center" vertical="center" wrapText="1"/>
    </xf>
    <xf numFmtId="0" fontId="16" fillId="0" borderId="1" applyAlignment="1" pivotButton="0" quotePrefix="0" xfId="0">
      <alignment horizontal="center" vertical="center" wrapText="1"/>
    </xf>
    <xf numFmtId="0" fontId="7" fillId="0" borderId="0" applyAlignment="1" pivotButton="0" quotePrefix="0" xfId="0">
      <alignment horizontal="left" vertical="center" wrapText="1"/>
    </xf>
    <xf numFmtId="0" fontId="17" fillId="0" borderId="1" applyAlignment="1" pivotButton="0" quotePrefix="0" xfId="0">
      <alignment horizontal="center" vertical="center" wrapText="1"/>
    </xf>
    <xf numFmtId="0" fontId="18" fillId="0" borderId="1" applyAlignment="1" pivotButton="0" quotePrefix="0" xfId="0">
      <alignment horizontal="left" vertical="center" wrapText="1"/>
    </xf>
    <xf numFmtId="166" fontId="18" fillId="0" borderId="1" applyAlignment="1" pivotButton="0" quotePrefix="0" xfId="0">
      <alignment horizontal="center" vertical="center" wrapText="1"/>
    </xf>
    <xf numFmtId="0" fontId="18" fillId="0" borderId="1" applyAlignment="1" pivotButton="0" quotePrefix="0" xfId="0">
      <alignment horizontal="center" vertical="center" wrapText="1"/>
    </xf>
    <xf numFmtId="0" fontId="17" fillId="4" borderId="1" applyAlignment="1" pivotButton="0" quotePrefix="0" xfId="0">
      <alignment horizontal="center" vertical="center" wrapText="1"/>
    </xf>
    <xf numFmtId="0" fontId="18" fillId="4" borderId="1" applyAlignment="1" pivotButton="0" quotePrefix="0" xfId="0">
      <alignment horizontal="left" vertical="center" wrapText="1"/>
    </xf>
    <xf numFmtId="166" fontId="18" fillId="4" borderId="1" applyAlignment="1" pivotButton="0" quotePrefix="0" xfId="0">
      <alignment horizontal="center" vertical="center" wrapText="1"/>
    </xf>
    <xf numFmtId="0" fontId="18" fillId="4" borderId="1" applyAlignment="1" pivotButton="0" quotePrefix="0" xfId="0">
      <alignment horizontal="center" vertical="center" wrapText="1"/>
    </xf>
    <xf numFmtId="168" fontId="11" fillId="5" borderId="2" applyAlignment="1" pivotButton="0" quotePrefix="0" xfId="0">
      <alignment horizontal="center" vertical="center" wrapText="1"/>
    </xf>
    <xf numFmtId="167" fontId="11" fillId="5" borderId="2" applyAlignment="1" pivotButton="0" quotePrefix="0" xfId="0">
      <alignment horizontal="center" vertical="center" wrapText="1"/>
    </xf>
    <xf numFmtId="164" fontId="19" fillId="0" borderId="1" applyAlignment="1" pivotButton="0" quotePrefix="0" xfId="0">
      <alignment horizontal="center" vertical="center" wrapText="1"/>
    </xf>
    <xf numFmtId="1" fontId="20" fillId="6" borderId="1" applyAlignment="1" pivotButton="0" quotePrefix="0" xfId="0">
      <alignment horizontal="center" vertical="center" wrapText="1"/>
    </xf>
    <xf numFmtId="167" fontId="3" fillId="0" borderId="1" applyAlignment="1" pivotButton="0" quotePrefix="0" xfId="0">
      <alignment horizontal="center" vertical="center" wrapText="1"/>
    </xf>
    <xf numFmtId="164" fontId="3" fillId="0" borderId="1" applyAlignment="1" pivotButton="0" quotePrefix="0" xfId="0">
      <alignment horizontal="center" vertical="center" wrapText="1"/>
    </xf>
    <xf numFmtId="1" fontId="5" fillId="0" borderId="1" applyAlignment="1" pivotButton="0" quotePrefix="0" xfId="0">
      <alignment horizontal="center" vertical="center" wrapText="1"/>
    </xf>
    <xf numFmtId="167" fontId="3" fillId="4" borderId="1" applyAlignment="1" pivotButton="0" quotePrefix="0" xfId="0">
      <alignment horizontal="center" vertical="center" wrapText="1"/>
    </xf>
    <xf numFmtId="164" fontId="3" fillId="4" borderId="1" applyAlignment="1" pivotButton="0" quotePrefix="0" xfId="0">
      <alignment horizontal="center" vertical="center" wrapText="1"/>
    </xf>
    <xf numFmtId="1" fontId="5" fillId="4" borderId="1" applyAlignment="1" pivotButton="0" quotePrefix="0" xfId="0">
      <alignment horizontal="center" vertical="center" wrapText="1"/>
    </xf>
    <xf numFmtId="0" fontId="21" fillId="0" borderId="1" applyAlignment="1" pivotButton="0" quotePrefix="0" xfId="0">
      <alignment horizontal="center" vertical="center" wrapText="1"/>
    </xf>
    <xf numFmtId="164" fontId="21" fillId="0" borderId="1" applyAlignment="1" pivotButton="0" quotePrefix="0" xfId="0">
      <alignment horizontal="center" vertical="center" wrapText="1"/>
    </xf>
    <xf numFmtId="10" fontId="21" fillId="0" borderId="1" applyAlignment="1" pivotButton="0" quotePrefix="0" xfId="0">
      <alignment horizontal="center" vertical="center" wrapText="1"/>
    </xf>
    <xf numFmtId="3" fontId="21" fillId="0" borderId="1" applyAlignment="1" pivotButton="0" quotePrefix="0" xfId="0">
      <alignment horizontal="center" vertical="center" wrapText="1"/>
    </xf>
    <xf numFmtId="170" fontId="21" fillId="0" borderId="1" applyAlignment="1" pivotButton="0" quotePrefix="0" xfId="0">
      <alignment horizontal="center" vertical="center" wrapText="1"/>
    </xf>
    <xf numFmtId="171" fontId="21" fillId="0" borderId="1" applyAlignment="1" pivotButton="0" quotePrefix="0" xfId="0">
      <alignment horizontal="center" vertical="center" wrapText="1"/>
    </xf>
    <xf numFmtId="0" fontId="12" fillId="0" borderId="1" applyAlignment="1" pivotButton="0" quotePrefix="0" xfId="0">
      <alignment horizontal="left" vertical="center" wrapText="1"/>
    </xf>
    <xf numFmtId="0" fontId="21" fillId="4" borderId="1" applyAlignment="1" pivotButton="0" quotePrefix="0" xfId="0">
      <alignment horizontal="center" vertical="center" wrapText="1"/>
    </xf>
    <xf numFmtId="164" fontId="21" fillId="4" borderId="1" applyAlignment="1" pivotButton="0" quotePrefix="0" xfId="0">
      <alignment horizontal="center" vertical="center" wrapText="1"/>
    </xf>
    <xf numFmtId="10" fontId="21" fillId="4" borderId="1" applyAlignment="1" pivotButton="0" quotePrefix="0" xfId="0">
      <alignment horizontal="center" vertical="center" wrapText="1"/>
    </xf>
    <xf numFmtId="3" fontId="21" fillId="4" borderId="1" applyAlignment="1" pivotButton="0" quotePrefix="0" xfId="0">
      <alignment horizontal="center" vertical="center" wrapText="1"/>
    </xf>
    <xf numFmtId="170" fontId="21" fillId="4" borderId="1" applyAlignment="1" pivotButton="0" quotePrefix="0" xfId="0">
      <alignment horizontal="center" vertical="center" wrapText="1"/>
    </xf>
    <xf numFmtId="171" fontId="21" fillId="4" borderId="1" applyAlignment="1" pivotButton="0" quotePrefix="0" xfId="0">
      <alignment horizontal="center" vertical="center" wrapText="1"/>
    </xf>
    <xf numFmtId="0" fontId="12" fillId="4" borderId="1" applyAlignment="1" pivotButton="0" quotePrefix="0" xfId="0">
      <alignment horizontal="left" vertical="center" wrapText="1"/>
    </xf>
    <xf numFmtId="0" fontId="22" fillId="0" borderId="1" applyAlignment="1" pivotButton="0" quotePrefix="0" xfId="0">
      <alignment horizontal="center" vertical="center" wrapText="1"/>
    </xf>
    <xf numFmtId="164" fontId="22" fillId="0" borderId="1" applyAlignment="1" pivotButton="0" quotePrefix="0" xfId="0">
      <alignment horizontal="center" vertical="center" wrapText="1"/>
    </xf>
    <xf numFmtId="166" fontId="22" fillId="0" borderId="1" applyAlignment="1" pivotButton="0" quotePrefix="0" xfId="0">
      <alignment horizontal="center" vertical="center" wrapText="1"/>
    </xf>
    <xf numFmtId="0" fontId="22" fillId="4" borderId="1" applyAlignment="1" pivotButton="0" quotePrefix="0" xfId="0">
      <alignment horizontal="center" vertical="center" wrapText="1"/>
    </xf>
    <xf numFmtId="164" fontId="22" fillId="4" borderId="1" applyAlignment="1" pivotButton="0" quotePrefix="0" xfId="0">
      <alignment horizontal="center" vertical="center" wrapText="1"/>
    </xf>
    <xf numFmtId="166" fontId="22" fillId="4" borderId="1" applyAlignment="1" pivotButton="0" quotePrefix="0" xfId="0">
      <alignment horizontal="center" vertical="center" wrapText="1"/>
    </xf>
    <xf numFmtId="0" fontId="23" fillId="4" borderId="1" applyAlignment="1" pivotButton="0" quotePrefix="0" xfId="0">
      <alignment horizontal="center" vertical="center" wrapText="1"/>
    </xf>
    <xf numFmtId="164" fontId="24" fillId="0" borderId="1" applyAlignment="1" pivotButton="0" quotePrefix="0" xfId="0">
      <alignment horizontal="center" vertical="center" wrapText="1"/>
    </xf>
  </cellXfs>
  <cellStyles count="1">
    <cellStyle name="Normal" xfId="0" builtinId="0" hidden="0"/>
  </cellStyles>
  <dxfs count="3">
    <dxf>
      <font>
        <b val="1"/>
        <color rgb="00D62828"/>
      </font>
    </dxf>
    <dxf>
      <font>
        <b val="1"/>
        <color rgb="00D62828"/>
      </font>
      <fill>
        <patternFill patternType="solid">
          <fgColor rgb="00FDE7E7"/>
        </patternFill>
      </fill>
    </dxf>
    <dxf>
      <font>
        <b val="1"/>
        <color rgb="002A9D8F"/>
      </font>
      <fill>
        <patternFill patternType="solid">
          <fgColor rgb="00E6F4F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styles" Target="styles.xml" Id="rId8" /><Relationship Type="http://schemas.openxmlformats.org/officeDocument/2006/relationships/theme" Target="theme/theme1.xml" Id="rId9" /></Relationships>
</file>

<file path=xl/comments/comment1.xml><?xml version="1.0" encoding="utf-8"?>
<comments xmlns="http://schemas.openxmlformats.org/spreadsheetml/2006/main">
  <authors>
    <author>MarketXLS</author>
  </authors>
  <commentList>
    <comment ref="B5" authorId="0" shapeId="0">
      <text>
        <t>Live last trade for the underlying</t>
      </text>
    </comment>
    <comment ref="B6" authorId="0" shapeId="0">
      <text>
        <t>Your discount rate. Kept as an input on purpose.</t>
      </text>
    </comment>
    <comment ref="B7" authorId="0" shapeId="0">
      <text>
        <t>Carry solved from put call parity, 2.06%, against a 1.01% headline yield</t>
      </text>
    </comment>
    <comment ref="B8" authorId="0" shapeId="0">
      <text>
        <t>Calendar days until the contracts expire</t>
      </text>
    </comment>
    <comment ref="B9" authorId="0" shapeId="0">
      <text>
        <t>Scales every dollar figure on this sheet</t>
      </text>
    </comment>
    <comment ref="B10" authorId="0" shapeId="0">
      <text>
        <t>At the money implied volatility solved from the mid</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comments" Target="/xl/comments/comment1.xml" Id="comments" /><Relationship Type="http://schemas.openxmlformats.org/officeDocument/2006/relationships/vmlDrawing" Target="/xl/drawings/commentsDrawing1.vml" Id="anysvml" /></Relationships>
</file>

<file path=xl/worksheets/sheet1.xml><?xml version="1.0" encoding="utf-8"?>
<worksheet xmlns="http://schemas.openxmlformats.org/spreadsheetml/2006/main">
  <sheetPr>
    <outlinePr summaryBelow="1" summaryRight="1"/>
    <pageSetUpPr/>
  </sheetPr>
  <dimension ref="A1:B29"/>
  <sheetViews>
    <sheetView showGridLines="0" workbookViewId="0">
      <selection activeCell="A1" sqref="A1"/>
    </sheetView>
  </sheetViews>
  <sheetFormatPr baseColWidth="8" defaultRowHeight="15"/>
  <cols>
    <col width="26" customWidth="1" min="1" max="1"/>
    <col width="96" customWidth="1" min="2" max="2"/>
  </cols>
  <sheetData>
    <row r="1" ht="30" customHeight="1">
      <c r="A1" s="1" t="inlineStr">
        <is>
          <t>Option Payoff Calculator</t>
        </is>
      </c>
    </row>
    <row r="2" ht="18" customHeight="1">
      <c r="A2" s="2" t="inlineStr">
        <is>
          <t>Static sample edition   |   SPY chain expiring 2026-09-18   |   Data as of 2026-08-15</t>
        </is>
      </c>
    </row>
    <row r="4" ht="30" customHeight="1">
      <c r="A4" s="3" t="inlineStr">
        <is>
          <t>This workbook turns any combination of up to four option legs, plus an optional stock position, into the six numbers that describe the trade: net debit or credit, maximum profit, maximum loss, every breakeven, reward to risk, and the win rate the structure needs to break even over many repetitions.</t>
        </is>
      </c>
    </row>
    <row r="5"/>
    <row r="7" ht="30" customHeight="1">
      <c r="A7" s="4" t="inlineStr">
        <is>
          <t>Sheet</t>
        </is>
      </c>
      <c r="B7" s="4" t="inlineStr">
        <is>
          <t>What it does</t>
        </is>
      </c>
    </row>
    <row r="8" ht="46" customHeight="1">
      <c r="A8" s="5" t="inlineStr">
        <is>
          <t>Payoff Calculator</t>
        </is>
      </c>
      <c r="B8" s="6" t="inlineStr">
        <is>
          <t>The main sheet. Yellow cells are yours to change: underlying price, risk free rate, dividend yield, contract count, and the four leg rows (action, type, strike, premium). Every output below the leg block recalculates from those cells.</t>
        </is>
      </c>
    </row>
    <row r="9" ht="46" customHeight="1">
      <c r="A9" s="7" t="inlineStr">
        <is>
          <t>Payoff Table</t>
        </is>
      </c>
      <c r="B9" s="8" t="inlineStr">
        <is>
          <t>The position priced at 33 underlying levels from 700 to 860. One column per leg so you can see which leg carries the profit and loss at each price, plus the net column and the return on the capital at risk.</t>
        </is>
      </c>
    </row>
    <row r="10" ht="46" customHeight="1">
      <c r="A10" s="5" t="inlineStr">
        <is>
          <t>Strategy Library</t>
        </is>
      </c>
      <c r="B10" s="6" t="inlineStr">
        <is>
          <t>Six common structures already wired to the same engine: iron condor, long straddle, bull call spread, cash secured put, call butterfly and collar. Compare their payoff shapes on one screen before you commit.</t>
        </is>
      </c>
    </row>
    <row r="11" ht="46" customHeight="1">
      <c r="A11" s="7" t="inlineStr">
        <is>
          <t>Position Sizing</t>
        </is>
      </c>
      <c r="B11" s="8" t="inlineStr">
        <is>
          <t>Turns an account size and a maximum risk percentage into a contract count. The maximum loss from the calculator sheet drives the arithmetic, so the size updates when the structure changes.</t>
        </is>
      </c>
    </row>
    <row r="12" ht="46" customHeight="1">
      <c r="A12" s="5" t="inlineStr">
        <is>
          <t>Leg Detail</t>
        </is>
      </c>
      <c r="B12" s="6" t="inlineStr">
        <is>
          <t>The live chain snapshot: bid, ask, mid, open interest, implied volatility and the five Greeks for every strike used in the workbook.</t>
        </is>
      </c>
    </row>
    <row r="13" ht="46" customHeight="1">
      <c r="A13" s="7" t="inlineStr">
        <is>
          <t>Breakeven Solver</t>
        </is>
      </c>
      <c r="B13" s="8" t="inlineStr">
        <is>
          <t>Shows the search that finds every breakeven. A payoff curve is piecewise linear, so a root sits on a strike or between two adjacent strikes. The sheet scans each segment rather than assuming one breakeven exists.</t>
        </is>
      </c>
    </row>
    <row r="15">
      <c r="A15" s="9" t="inlineStr">
        <is>
          <t>How the sample edition is built</t>
        </is>
      </c>
    </row>
    <row r="16" ht="28" customHeight="1">
      <c r="A16" s="3" t="inlineStr">
        <is>
          <t xml:space="preserve">  Values were captured from the live SPY chain on 2026-08-15 with the 2026-09-18 expiry, 34 days out.</t>
        </is>
      </c>
    </row>
    <row r="17" ht="28" customHeight="1">
      <c r="A17" s="3" t="inlineStr">
        <is>
          <t xml:space="preserve">  Each static price sits next to the exact MarketXLS formula that returns it live, so the sample doubles as a formula reference.</t>
        </is>
      </c>
    </row>
    <row r="18" ht="28" customHeight="1">
      <c r="A18" s="3" t="inlineStr">
        <is>
          <t xml:space="preserve">  Implied volatility was solved from each contract's own mid price against a forward taken from put call parity, not copied from a vendor field.</t>
        </is>
      </c>
    </row>
    <row r="19" ht="28" customHeight="1">
      <c r="A19" s="3" t="inlineStr">
        <is>
          <t xml:space="preserve">  Open the template edition to replace every static number with a live formula.</t>
        </is>
      </c>
    </row>
    <row r="21">
      <c r="A21" s="10" t="inlineStr">
        <is>
          <t>Educational template only. Nothing here is investment advice or a recommendation to buy or sell any security.</t>
        </is>
      </c>
    </row>
    <row r="23">
      <c r="A23" s="9" t="inlineStr">
        <is>
          <t>MarketXLS Functions Used in This Sheet</t>
        </is>
      </c>
    </row>
    <row r="24">
      <c r="A24" s="11">
        <f>QM_Last("SPY")</f>
        <v/>
      </c>
      <c r="B24" s="12" t="inlineStr">
        <is>
          <t>Underlying price that drives every payoff row</t>
        </is>
      </c>
    </row>
    <row r="25">
      <c r="A25" s="11">
        <f>OptionSymbol("SPY",DATE(2026,9,18),"P",745)</f>
        <v/>
      </c>
      <c r="B25" s="12" t="inlineStr">
        <is>
          <t>Builds the contract symbol the quote functions need</t>
        </is>
      </c>
    </row>
    <row r="26">
      <c r="A26" s="11">
        <f>Bid(sym) / =Ask(sym)</f>
        <v/>
      </c>
      <c r="B26" s="12" t="inlineStr">
        <is>
          <t>Two sided market for each leg, mid is the average</t>
        </is>
      </c>
    </row>
    <row r="27">
      <c r="A27" s="11">
        <f>opt_Delta(spot,px,expiry,type,strike,r,q)</f>
        <v/>
      </c>
      <c r="B27" s="12" t="inlineStr">
        <is>
          <t>Directional exposure of a leg, eight argument form</t>
        </is>
      </c>
    </row>
    <row r="28">
      <c r="A28" s="11">
        <f>ImpliedVolatility30d("SPY")</f>
        <v/>
      </c>
      <c r="B28" s="12" t="inlineStr">
        <is>
          <t>Thirty day implied volatility for context</t>
        </is>
      </c>
    </row>
    <row r="29">
      <c r="A29" s="13" t="inlineStr">
        <is>
          <t>Powered by MarketXLS   |   https://marketxls.com   |   Book a demo: https://marketxls.com/book-demo</t>
        </is>
      </c>
    </row>
  </sheetData>
  <mergeCells count="16">
    <mergeCell ref="A4:B5"/>
    <mergeCell ref="A16:B16"/>
    <mergeCell ref="A2:B2"/>
    <mergeCell ref="A15:B15"/>
    <mergeCell ref="A21:B21"/>
    <mergeCell ref="B26"/>
    <mergeCell ref="A29:B29"/>
    <mergeCell ref="A19:B19"/>
    <mergeCell ref="A23:B23"/>
    <mergeCell ref="B25"/>
    <mergeCell ref="B24"/>
    <mergeCell ref="A1:B1"/>
    <mergeCell ref="A17:B17"/>
    <mergeCell ref="A18:B18"/>
    <mergeCell ref="B28"/>
    <mergeCell ref="B27"/>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I40"/>
  <sheetViews>
    <sheetView showGridLines="0" workbookViewId="0">
      <pane ySplit="3" topLeftCell="A4" activePane="bottomLeft" state="frozen"/>
      <selection pane="bottomLeft" activeCell="A1" sqref="A1"/>
    </sheetView>
  </sheetViews>
  <sheetFormatPr baseColWidth="8" defaultRowHeight="15"/>
  <cols>
    <col width="22" customWidth="1" min="1" max="1"/>
    <col width="14" customWidth="1" min="2" max="2"/>
    <col width="12" customWidth="1" min="3" max="3"/>
    <col width="13" customWidth="1" min="4" max="4"/>
    <col width="13" customWidth="1" min="5" max="5"/>
    <col width="15" customWidth="1" min="6" max="6"/>
    <col width="15" customWidth="1" min="7" max="7"/>
    <col width="15" customWidth="1" min="8" max="8"/>
    <col width="30" customWidth="1" min="9" max="9"/>
  </cols>
  <sheetData>
    <row r="1" ht="30" customHeight="1">
      <c r="A1" s="1" t="inlineStr">
        <is>
          <t>Option Payoff Calculator</t>
        </is>
      </c>
    </row>
    <row r="2" ht="18" customHeight="1">
      <c r="A2" s="2" t="inlineStr">
        <is>
          <t>SPY 2026-09-18 iron condor worked example   |   Yellow cells are inputs   |   Data as of 2026-08-15</t>
        </is>
      </c>
    </row>
    <row r="4">
      <c r="A4" s="9" t="inlineStr">
        <is>
          <t>1. Market inputs</t>
        </is>
      </c>
    </row>
    <row r="5">
      <c r="A5" s="5" t="inlineStr">
        <is>
          <t>Underlying price</t>
        </is>
      </c>
      <c r="B5" s="14" t="n">
        <v>776.34</v>
      </c>
      <c r="C5" s="15">
        <f>QM_Last("SPY")</f>
        <v/>
      </c>
    </row>
    <row r="6">
      <c r="A6" s="5" t="inlineStr">
        <is>
          <t>Risk free rate</t>
        </is>
      </c>
      <c r="B6" s="16" t="n">
        <v>0.04</v>
      </c>
      <c r="C6" s="15" t="inlineStr">
        <is>
          <t>input cell</t>
        </is>
      </c>
    </row>
    <row r="7">
      <c r="A7" s="5" t="inlineStr">
        <is>
          <t>Dividend yield</t>
        </is>
      </c>
      <c r="B7" s="16" t="n">
        <v>0.020587</v>
      </c>
      <c r="C7" s="15">
        <f>DividendYield("SPY")</f>
        <v/>
      </c>
    </row>
    <row r="8">
      <c r="A8" s="5" t="inlineStr">
        <is>
          <t>Days to expiry</t>
        </is>
      </c>
      <c r="B8" s="17" t="n">
        <v>34</v>
      </c>
      <c r="C8" s="15">
        <f>OPT_DaysToExpiration(OptionSymbol("SPY",DATE(2026,9,18),"C",805))</f>
        <v/>
      </c>
    </row>
    <row r="9">
      <c r="A9" s="5" t="inlineStr">
        <is>
          <t>Contracts</t>
        </is>
      </c>
      <c r="B9" s="17" t="n">
        <v>1</v>
      </c>
      <c r="C9" s="15" t="inlineStr">
        <is>
          <t>input cell</t>
        </is>
      </c>
    </row>
    <row r="10">
      <c r="A10" s="5" t="inlineStr">
        <is>
          <t>Thirty day IV</t>
        </is>
      </c>
      <c r="B10" s="16" t="n">
        <v>0.128256</v>
      </c>
      <c r="C10" s="15">
        <f>ImpliedVolatility30d("SPY")</f>
        <v/>
      </c>
    </row>
    <row r="12">
      <c r="A12" s="9" t="inlineStr">
        <is>
          <t>2. Position legs (up to four, leave a row blank to skip it)</t>
        </is>
      </c>
    </row>
    <row r="13" ht="30" customHeight="1">
      <c r="A13" s="4" t="inlineStr">
        <is>
          <t>Leg</t>
        </is>
      </c>
      <c r="B13" s="4" t="inlineStr">
        <is>
          <t>Action</t>
        </is>
      </c>
      <c r="C13" s="4" t="inlineStr">
        <is>
          <t>Type</t>
        </is>
      </c>
      <c r="D13" s="4" t="inlineStr">
        <is>
          <t>Strike</t>
        </is>
      </c>
      <c r="E13" s="4" t="inlineStr">
        <is>
          <t>Premium</t>
        </is>
      </c>
      <c r="F13" s="4" t="inlineStr">
        <is>
          <t>Sign</t>
        </is>
      </c>
      <c r="G13" s="4" t="inlineStr">
        <is>
          <t>Cash flow $</t>
        </is>
      </c>
      <c r="H13" s="4" t="inlineStr">
        <is>
          <t>Intrinsic at spot</t>
        </is>
      </c>
      <c r="I13" s="4" t="inlineStr">
        <is>
          <t>Live premium formula</t>
        </is>
      </c>
    </row>
    <row r="14">
      <c r="A14" s="18" t="inlineStr">
        <is>
          <t>Leg 1</t>
        </is>
      </c>
      <c r="B14" s="19" t="inlineStr">
        <is>
          <t>Sell</t>
        </is>
      </c>
      <c r="C14" s="19" t="inlineStr">
        <is>
          <t>Put</t>
        </is>
      </c>
      <c r="D14" s="20" t="n">
        <v>745</v>
      </c>
      <c r="E14" s="20" t="n">
        <v>3.805</v>
      </c>
      <c r="F14" s="21">
        <f>IF(B14="Buy",1,IF(B14="Sell",-1,0))</f>
        <v/>
      </c>
      <c r="G14" s="22">
        <f>-F14*E14*100*$B$9</f>
        <v/>
      </c>
      <c r="H14" s="23">
        <f>IF(C14="Call",MAX(0,$B$5-D14),IF(C14="Put",MAX(0,D14-$B$5),0))</f>
        <v/>
      </c>
      <c r="I14" s="24">
        <f>(Bid(OptionSymbol("SPY",DATE(2026,9,18),"P",745))+Ask(...))/2</f>
        <v/>
      </c>
    </row>
    <row r="15">
      <c r="A15" s="18" t="inlineStr">
        <is>
          <t>Leg 2</t>
        </is>
      </c>
      <c r="B15" s="19" t="inlineStr">
        <is>
          <t>Buy</t>
        </is>
      </c>
      <c r="C15" s="19" t="inlineStr">
        <is>
          <t>Put</t>
        </is>
      </c>
      <c r="D15" s="20" t="n">
        <v>730</v>
      </c>
      <c r="E15" s="20" t="n">
        <v>2.47</v>
      </c>
      <c r="F15" s="21">
        <f>IF(B15="Buy",1,IF(B15="Sell",-1,0))</f>
        <v/>
      </c>
      <c r="G15" s="22">
        <f>-F15*E15*100*$B$9</f>
        <v/>
      </c>
      <c r="H15" s="23">
        <f>IF(C15="Call",MAX(0,$B$5-D15),IF(C15="Put",MAX(0,D15-$B$5),0))</f>
        <v/>
      </c>
      <c r="I15" s="24">
        <f>(Bid(OptionSymbol("SPY",DATE(2026,9,18),"P",730))+Ask(...))/2</f>
        <v/>
      </c>
    </row>
    <row r="16">
      <c r="A16" s="18" t="inlineStr">
        <is>
          <t>Leg 3</t>
        </is>
      </c>
      <c r="B16" s="19" t="inlineStr">
        <is>
          <t>Sell</t>
        </is>
      </c>
      <c r="C16" s="19" t="inlineStr">
        <is>
          <t>Call</t>
        </is>
      </c>
      <c r="D16" s="20" t="n">
        <v>805</v>
      </c>
      <c r="E16" s="20" t="n">
        <v>2.1</v>
      </c>
      <c r="F16" s="21">
        <f>IF(B16="Buy",1,IF(B16="Sell",-1,0))</f>
        <v/>
      </c>
      <c r="G16" s="22">
        <f>-F16*E16*100*$B$9</f>
        <v/>
      </c>
      <c r="H16" s="23">
        <f>IF(C16="Call",MAX(0,$B$5-D16),IF(C16="Put",MAX(0,D16-$B$5),0))</f>
        <v/>
      </c>
      <c r="I16" s="24">
        <f>(Bid(OptionSymbol("SPY",DATE(2026,9,18),"C",805))+Ask(...))/2</f>
        <v/>
      </c>
    </row>
    <row r="17">
      <c r="A17" s="18" t="inlineStr">
        <is>
          <t>Leg 4</t>
        </is>
      </c>
      <c r="B17" s="19" t="inlineStr">
        <is>
          <t>Buy</t>
        </is>
      </c>
      <c r="C17" s="19" t="inlineStr">
        <is>
          <t>Call</t>
        </is>
      </c>
      <c r="D17" s="20" t="n">
        <v>820</v>
      </c>
      <c r="E17" s="20" t="n">
        <v>0.625</v>
      </c>
      <c r="F17" s="21">
        <f>IF(B17="Buy",1,IF(B17="Sell",-1,0))</f>
        <v/>
      </c>
      <c r="G17" s="22">
        <f>-F17*E17*100*$B$9</f>
        <v/>
      </c>
      <c r="H17" s="23">
        <f>IF(C17="Call",MAX(0,$B$5-D17),IF(C17="Put",MAX(0,D17-$B$5),0))</f>
        <v/>
      </c>
      <c r="I17" s="24">
        <f>(Bid(OptionSymbol("SPY",DATE(2026,9,18),"C",820))+Ask(...))/2</f>
        <v/>
      </c>
    </row>
    <row r="18">
      <c r="A18" s="18" t="inlineStr">
        <is>
          <t>Net</t>
        </is>
      </c>
      <c r="B18" s="25" t="n"/>
      <c r="C18" s="25" t="n"/>
      <c r="D18" s="25" t="n"/>
      <c r="E18" s="25" t="n"/>
      <c r="F18" s="25" t="n"/>
      <c r="G18" s="26">
        <f>SUM(G14:G17)</f>
        <v/>
      </c>
      <c r="H18" s="27">
        <f>IF(G18&gt;0,"Net credit received","Net debit paid")</f>
        <v/>
      </c>
      <c r="I18" s="25" t="n"/>
    </row>
    <row r="20">
      <c r="A20" s="9" t="inlineStr">
        <is>
          <t>3. What the structure is worth</t>
        </is>
      </c>
    </row>
    <row r="21" ht="30" customHeight="1">
      <c r="A21" s="4" t="inlineStr">
        <is>
          <t>Output</t>
        </is>
      </c>
      <c r="B21" s="4" t="inlineStr">
        <is>
          <t>Value</t>
        </is>
      </c>
      <c r="C21" s="4" t="inlineStr"/>
      <c r="D21" s="4" t="inlineStr">
        <is>
          <t>How it is derived</t>
        </is>
      </c>
      <c r="E21" s="4" t="inlineStr"/>
      <c r="F21" s="4" t="inlineStr"/>
      <c r="G21" s="4" t="inlineStr"/>
      <c r="H21" s="4" t="inlineStr"/>
      <c r="I21" s="4" t="inlineStr"/>
    </row>
    <row r="22">
      <c r="A22" s="5" t="inlineStr">
        <is>
          <t>Net credit received</t>
        </is>
      </c>
      <c r="B22" s="28" t="n">
        <v>281</v>
      </c>
      <c r="C22" s="25" t="n"/>
      <c r="D22" s="12" t="inlineStr">
        <is>
          <t>Cash into the account on the day the position opens</t>
        </is>
      </c>
    </row>
    <row r="23">
      <c r="A23" s="7" t="inlineStr">
        <is>
          <t>Maximum profit</t>
        </is>
      </c>
      <c r="B23" s="29" t="n">
        <v>281</v>
      </c>
      <c r="C23" s="30" t="n"/>
      <c r="D23" s="31" t="inlineStr">
        <is>
          <t>Kept in full only if the underlying finishes between the short strikes</t>
        </is>
      </c>
      <c r="E23" s="32" t="n"/>
      <c r="F23" s="32" t="n"/>
      <c r="G23" s="32" t="n"/>
      <c r="H23" s="32" t="n"/>
      <c r="I23" s="32" t="n"/>
    </row>
    <row r="24">
      <c r="A24" s="5" t="inlineStr">
        <is>
          <t>Maximum loss</t>
        </is>
      </c>
      <c r="B24" s="33" t="n">
        <v>-1219</v>
      </c>
      <c r="C24" s="25" t="n"/>
      <c r="D24" s="12" t="inlineStr">
        <is>
          <t>Wing width minus the credit, times one hundred, times contracts</t>
        </is>
      </c>
    </row>
    <row r="25">
      <c r="A25" s="7" t="inlineStr">
        <is>
          <t>Lower breakeven</t>
        </is>
      </c>
      <c r="B25" s="29" t="n">
        <v>742.1900000000001</v>
      </c>
      <c r="C25" s="30" t="n"/>
      <c r="D25" s="31" t="inlineStr">
        <is>
          <t>Short put strike minus the credit per share</t>
        </is>
      </c>
      <c r="E25" s="32" t="n"/>
      <c r="F25" s="32" t="n"/>
      <c r="G25" s="32" t="n"/>
      <c r="H25" s="32" t="n"/>
      <c r="I25" s="32" t="n"/>
    </row>
    <row r="26">
      <c r="A26" s="5" t="inlineStr">
        <is>
          <t>Upper breakeven</t>
        </is>
      </c>
      <c r="B26" s="28" t="n">
        <v>807.8099999999999</v>
      </c>
      <c r="C26" s="25" t="n"/>
      <c r="D26" s="12" t="inlineStr">
        <is>
          <t>Short call strike plus the credit per share</t>
        </is>
      </c>
    </row>
    <row r="27">
      <c r="A27" s="7" t="inlineStr">
        <is>
          <t>Profit window width</t>
        </is>
      </c>
      <c r="B27" s="34" t="n">
        <v>65.62</v>
      </c>
      <c r="C27" s="30" t="n"/>
      <c r="D27" s="31" t="inlineStr">
        <is>
          <t>Distance between the two breakevens in underlying points</t>
        </is>
      </c>
      <c r="E27" s="32" t="n"/>
      <c r="F27" s="32" t="n"/>
      <c r="G27" s="32" t="n"/>
      <c r="H27" s="32" t="n"/>
      <c r="I27" s="32" t="n"/>
    </row>
    <row r="28">
      <c r="A28" s="5" t="inlineStr">
        <is>
          <t>Reward to risk</t>
        </is>
      </c>
      <c r="B28" s="35" t="n">
        <v>0.23</v>
      </c>
      <c r="C28" s="25" t="n"/>
      <c r="D28" s="12" t="inlineStr">
        <is>
          <t>Maximum profit divided by maximum loss. Below 1.0 means the loss is the larger number.</t>
        </is>
      </c>
    </row>
    <row r="29">
      <c r="A29" s="7" t="inlineStr">
        <is>
          <t>Breakeven win rate</t>
        </is>
      </c>
      <c r="B29" s="36" t="n">
        <v>0.8126666666666666</v>
      </c>
      <c r="C29" s="30" t="n"/>
      <c r="D29" s="31" t="inlineStr">
        <is>
          <t>Share of expirations that must land inside the window just to break even over many trades</t>
        </is>
      </c>
      <c r="E29" s="32" t="n"/>
      <c r="F29" s="32" t="n"/>
      <c r="G29" s="32" t="n"/>
      <c r="H29" s="32" t="n"/>
      <c r="I29" s="32" t="n"/>
    </row>
    <row r="30">
      <c r="A30" s="5" t="inlineStr">
        <is>
          <t>Capital at risk</t>
        </is>
      </c>
      <c r="B30" s="28" t="n">
        <v>1219</v>
      </c>
      <c r="C30" s="25" t="n"/>
      <c r="D30" s="12" t="inlineStr">
        <is>
          <t>The most the position can lose, which is what a broker holds against it</t>
        </is>
      </c>
    </row>
    <row r="31">
      <c r="A31" s="7" t="inlineStr">
        <is>
          <t>Return on risk if held to max profit</t>
        </is>
      </c>
      <c r="B31" s="36" t="n">
        <v>0.2305168170631665</v>
      </c>
      <c r="C31" s="30" t="n"/>
      <c r="D31" s="31" t="inlineStr">
        <is>
          <t>Maximum profit as a percentage of capital at risk</t>
        </is>
      </c>
      <c r="E31" s="32" t="n"/>
      <c r="F31" s="32" t="n"/>
      <c r="G31" s="32" t="n"/>
      <c r="H31" s="32" t="n"/>
      <c r="I31" s="32" t="n"/>
    </row>
    <row r="33">
      <c r="A33" s="9" t="inlineStr">
        <is>
          <t>MarketXLS Functions Used in This Sheet</t>
        </is>
      </c>
    </row>
    <row r="34">
      <c r="A34" s="11">
        <f>QM_Last("SPY")</f>
        <v/>
      </c>
      <c r="B34" s="12" t="inlineStr">
        <is>
          <t>Underlying price in the market inputs block</t>
        </is>
      </c>
    </row>
    <row r="35">
      <c r="A35" s="11">
        <f>OptionSymbol("SPY",DATE(2026,9,18),"P",745)</f>
        <v/>
      </c>
      <c r="B35" s="12" t="inlineStr">
        <is>
          <t>Contract symbol for the short put leg</t>
        </is>
      </c>
    </row>
    <row r="36">
      <c r="A36" s="11">
        <f>Bid(sym) / =Ask(sym)</f>
        <v/>
      </c>
      <c r="B36" s="12" t="inlineStr">
        <is>
          <t>Leg premium taken as the mid of the two sided market</t>
        </is>
      </c>
    </row>
    <row r="37">
      <c r="A37" s="11">
        <f>OPT_DaysToExpiration(OptionSymbol("SPY",DATE(2026,9,18),"C",805))</f>
        <v/>
      </c>
      <c r="B37" s="12" t="inlineStr">
        <is>
          <t>Days to expiry for the days input</t>
        </is>
      </c>
    </row>
    <row r="38">
      <c r="A38" s="11">
        <f>DividendYield("SPY")</f>
        <v/>
      </c>
      <c r="B38" s="12" t="inlineStr">
        <is>
          <t>Headline yield, shown next to the parity implied carry</t>
        </is>
      </c>
    </row>
    <row r="39">
      <c r="A39" s="11">
        <f>ImpliedVolatility30d("SPY")</f>
        <v/>
      </c>
      <c r="B39" s="12" t="inlineStr">
        <is>
          <t>Thirty day implied volatility</t>
        </is>
      </c>
    </row>
    <row r="40">
      <c r="A40" s="13" t="inlineStr">
        <is>
          <t>Powered by MarketXLS   |   https://marketxls.com   |   Book a demo: https://marketxls.com/book-demo</t>
        </is>
      </c>
    </row>
  </sheetData>
  <mergeCells count="31">
    <mergeCell ref="D27:I27"/>
    <mergeCell ref="C9:E9"/>
    <mergeCell ref="A18:F18"/>
    <mergeCell ref="A12:I12"/>
    <mergeCell ref="A2:I2"/>
    <mergeCell ref="A33:I33"/>
    <mergeCell ref="D28:I28"/>
    <mergeCell ref="B39:I39"/>
    <mergeCell ref="C8:E8"/>
    <mergeCell ref="C7:E7"/>
    <mergeCell ref="A4:I4"/>
    <mergeCell ref="A20:I20"/>
    <mergeCell ref="D25:I25"/>
    <mergeCell ref="D30:I30"/>
    <mergeCell ref="D24:I24"/>
    <mergeCell ref="D29:I29"/>
    <mergeCell ref="B38:I38"/>
    <mergeCell ref="D23:I23"/>
    <mergeCell ref="B34:I34"/>
    <mergeCell ref="A40:I40"/>
    <mergeCell ref="B37:I37"/>
    <mergeCell ref="D26:I26"/>
    <mergeCell ref="C6:E6"/>
    <mergeCell ref="C5:E5"/>
    <mergeCell ref="D22:I22"/>
    <mergeCell ref="H18:I18"/>
    <mergeCell ref="D31:I31"/>
    <mergeCell ref="A1:I1"/>
    <mergeCell ref="B36:I36"/>
    <mergeCell ref="B35:I35"/>
    <mergeCell ref="C10:E10"/>
  </mergeCells>
  <conditionalFormatting sqref="B22:B31">
    <cfRule type="cellIs" priority="1" operator="lessThan" dxfId="0">
      <formula>0</formula>
    </cfRule>
  </conditionalFormatting>
  <dataValidations count="2">
    <dataValidation sqref="B14 B15 B16 B17" showDropDown="0" showInputMessage="0" showErrorMessage="0" allowBlank="1" type="list">
      <formula1>"Buy,Sell"</formula1>
    </dataValidation>
    <dataValidation sqref="C14 C15 C16 C17" showDropDown="0" showInputMessage="0" showErrorMessage="0" allowBlank="1" type="list">
      <formula1>"Call,Put"</formula1>
    </dataValidation>
  </dataValidations>
  <pageMargins left="0.75" right="0.75" top="1" bottom="1" header="0.5" footer="0.5"/>
  <legacyDrawing xmlns:r="http://schemas.openxmlformats.org/officeDocument/2006/relationships" r:id="anysvml"/>
</worksheet>
</file>

<file path=xl/worksheets/sheet3.xml><?xml version="1.0" encoding="utf-8"?>
<worksheet xmlns="http://schemas.openxmlformats.org/spreadsheetml/2006/main">
  <sheetPr>
    <outlinePr summaryBelow="1" summaryRight="1"/>
    <pageSetUpPr/>
  </sheetPr>
  <dimension ref="A1:I46"/>
  <sheetViews>
    <sheetView showGridLines="0" workbookViewId="0">
      <pane xSplit="1" ySplit="4" topLeftCell="B5" activePane="bottomRight" state="frozen"/>
      <selection pane="topRight"/>
      <selection pane="bottomLeft"/>
      <selection pane="bottomRight" activeCell="A1" sqref="A1"/>
    </sheetView>
  </sheetViews>
  <sheetFormatPr baseColWidth="8" defaultRowHeight="15"/>
  <cols>
    <col width="16" customWidth="1" min="1" max="1"/>
    <col width="15" customWidth="1" min="2" max="2"/>
    <col width="15" customWidth="1" min="3" max="3"/>
    <col width="15" customWidth="1" min="4" max="4"/>
    <col width="15" customWidth="1" min="5" max="5"/>
    <col width="17" customWidth="1" min="6" max="6"/>
    <col width="15" customWidth="1" min="7" max="7"/>
    <col width="16" customWidth="1" min="8" max="8"/>
    <col width="20" customWidth="1" min="9" max="9"/>
  </cols>
  <sheetData>
    <row r="1" ht="30" customHeight="1">
      <c r="A1" s="1" t="inlineStr">
        <is>
          <t>Payoff Table</t>
        </is>
      </c>
    </row>
    <row r="2" ht="18" customHeight="1">
      <c r="A2" s="2" t="inlineStr">
        <is>
          <t>The position priced at every underlying level from 700 to 860. One column per leg, then the net.</t>
        </is>
      </c>
    </row>
    <row r="4" ht="30" customHeight="1">
      <c r="A4" s="4" t="inlineStr">
        <is>
          <t>Underlying</t>
        </is>
      </c>
      <c r="B4" s="4" t="inlineStr">
        <is>
          <t>Short Put 745</t>
        </is>
      </c>
      <c r="C4" s="4" t="inlineStr">
        <is>
          <t>Long Put 730</t>
        </is>
      </c>
      <c r="D4" s="4" t="inlineStr">
        <is>
          <t>Short Call 805</t>
        </is>
      </c>
      <c r="E4" s="4" t="inlineStr">
        <is>
          <t>Long Call 820</t>
        </is>
      </c>
      <c r="F4" s="4" t="inlineStr">
        <is>
          <t>Net P&amp;L $</t>
        </is>
      </c>
      <c r="G4" s="4" t="inlineStr">
        <is>
          <t>Return on risk</t>
        </is>
      </c>
      <c r="H4" s="4" t="inlineStr">
        <is>
          <t>Outcome</t>
        </is>
      </c>
      <c r="I4" s="4" t="inlineStr">
        <is>
          <t>Distance from spot</t>
        </is>
      </c>
    </row>
    <row r="5">
      <c r="A5" s="37" t="n">
        <v>700</v>
      </c>
      <c r="B5" s="38" t="n">
        <v>-4119.5</v>
      </c>
      <c r="C5" s="38" t="n">
        <v>2753</v>
      </c>
      <c r="D5" s="38" t="n">
        <v>210</v>
      </c>
      <c r="E5" s="38" t="n">
        <v>-62.5</v>
      </c>
      <c r="F5" s="39" t="n">
        <v>-1219</v>
      </c>
      <c r="G5" s="40" t="n">
        <v>-1</v>
      </c>
      <c r="H5" s="41" t="inlineStr">
        <is>
          <t>Max loss</t>
        </is>
      </c>
      <c r="I5" s="42" t="n">
        <v>-0.0983</v>
      </c>
    </row>
    <row r="6">
      <c r="A6" s="43" t="n">
        <v>705</v>
      </c>
      <c r="B6" s="44" t="n">
        <v>-3619.5</v>
      </c>
      <c r="C6" s="44" t="n">
        <v>2253</v>
      </c>
      <c r="D6" s="44" t="n">
        <v>210</v>
      </c>
      <c r="E6" s="44" t="n">
        <v>-62.5</v>
      </c>
      <c r="F6" s="45" t="n">
        <v>-1219</v>
      </c>
      <c r="G6" s="46" t="n">
        <v>-1</v>
      </c>
      <c r="H6" s="47" t="inlineStr">
        <is>
          <t>Max loss</t>
        </is>
      </c>
      <c r="I6" s="48" t="n">
        <v>-0.0919</v>
      </c>
    </row>
    <row r="7">
      <c r="A7" s="37" t="n">
        <v>710</v>
      </c>
      <c r="B7" s="38" t="n">
        <v>-3119.5</v>
      </c>
      <c r="C7" s="38" t="n">
        <v>1753</v>
      </c>
      <c r="D7" s="38" t="n">
        <v>210</v>
      </c>
      <c r="E7" s="38" t="n">
        <v>-62.5</v>
      </c>
      <c r="F7" s="39" t="n">
        <v>-1219</v>
      </c>
      <c r="G7" s="40" t="n">
        <v>-1</v>
      </c>
      <c r="H7" s="41" t="inlineStr">
        <is>
          <t>Max loss</t>
        </is>
      </c>
      <c r="I7" s="42" t="n">
        <v>-0.08550000000000001</v>
      </c>
    </row>
    <row r="8">
      <c r="A8" s="43" t="n">
        <v>715</v>
      </c>
      <c r="B8" s="44" t="n">
        <v>-2619.5</v>
      </c>
      <c r="C8" s="44" t="n">
        <v>1253</v>
      </c>
      <c r="D8" s="44" t="n">
        <v>210</v>
      </c>
      <c r="E8" s="44" t="n">
        <v>-62.5</v>
      </c>
      <c r="F8" s="45" t="n">
        <v>-1219</v>
      </c>
      <c r="G8" s="46" t="n">
        <v>-1</v>
      </c>
      <c r="H8" s="47" t="inlineStr">
        <is>
          <t>Max loss</t>
        </is>
      </c>
      <c r="I8" s="48" t="n">
        <v>-0.079</v>
      </c>
    </row>
    <row r="9">
      <c r="A9" s="37" t="n">
        <v>720</v>
      </c>
      <c r="B9" s="38" t="n">
        <v>-2119.5</v>
      </c>
      <c r="C9" s="38" t="n">
        <v>753</v>
      </c>
      <c r="D9" s="38" t="n">
        <v>210</v>
      </c>
      <c r="E9" s="38" t="n">
        <v>-62.5</v>
      </c>
      <c r="F9" s="39" t="n">
        <v>-1219</v>
      </c>
      <c r="G9" s="40" t="n">
        <v>-1</v>
      </c>
      <c r="H9" s="41" t="inlineStr">
        <is>
          <t>Max loss</t>
        </is>
      </c>
      <c r="I9" s="42" t="n">
        <v>-0.0726</v>
      </c>
    </row>
    <row r="10">
      <c r="A10" s="43" t="n">
        <v>725</v>
      </c>
      <c r="B10" s="44" t="n">
        <v>-1619.5</v>
      </c>
      <c r="C10" s="44" t="n">
        <v>253</v>
      </c>
      <c r="D10" s="44" t="n">
        <v>210</v>
      </c>
      <c r="E10" s="44" t="n">
        <v>-62.5</v>
      </c>
      <c r="F10" s="45" t="n">
        <v>-1219</v>
      </c>
      <c r="G10" s="46" t="n">
        <v>-1</v>
      </c>
      <c r="H10" s="47" t="inlineStr">
        <is>
          <t>Max loss</t>
        </is>
      </c>
      <c r="I10" s="48" t="n">
        <v>-0.06610000000000001</v>
      </c>
    </row>
    <row r="11">
      <c r="A11" s="37" t="n">
        <v>730</v>
      </c>
      <c r="B11" s="38" t="n">
        <v>-1119.5</v>
      </c>
      <c r="C11" s="38" t="n">
        <v>-247</v>
      </c>
      <c r="D11" s="38" t="n">
        <v>210</v>
      </c>
      <c r="E11" s="38" t="n">
        <v>-62.5</v>
      </c>
      <c r="F11" s="39" t="n">
        <v>-1219</v>
      </c>
      <c r="G11" s="40" t="n">
        <v>-1</v>
      </c>
      <c r="H11" s="41" t="inlineStr">
        <is>
          <t>Max loss</t>
        </is>
      </c>
      <c r="I11" s="42" t="n">
        <v>-0.0597</v>
      </c>
    </row>
    <row r="12">
      <c r="A12" s="43" t="n">
        <v>735</v>
      </c>
      <c r="B12" s="44" t="n">
        <v>-619.5</v>
      </c>
      <c r="C12" s="44" t="n">
        <v>-247</v>
      </c>
      <c r="D12" s="44" t="n">
        <v>210</v>
      </c>
      <c r="E12" s="44" t="n">
        <v>-62.5</v>
      </c>
      <c r="F12" s="45" t="n">
        <v>-719</v>
      </c>
      <c r="G12" s="46" t="n">
        <v>-0.5898</v>
      </c>
      <c r="H12" s="47" t="inlineStr">
        <is>
          <t>Loss</t>
        </is>
      </c>
      <c r="I12" s="48" t="n">
        <v>-0.0532</v>
      </c>
    </row>
    <row r="13">
      <c r="A13" s="37" t="n">
        <v>740</v>
      </c>
      <c r="B13" s="38" t="n">
        <v>-119.5</v>
      </c>
      <c r="C13" s="38" t="n">
        <v>-247</v>
      </c>
      <c r="D13" s="38" t="n">
        <v>210</v>
      </c>
      <c r="E13" s="38" t="n">
        <v>-62.5</v>
      </c>
      <c r="F13" s="39" t="n">
        <v>-219</v>
      </c>
      <c r="G13" s="40" t="n">
        <v>-0.1797</v>
      </c>
      <c r="H13" s="41" t="inlineStr">
        <is>
          <t>Loss</t>
        </is>
      </c>
      <c r="I13" s="42" t="n">
        <v>-0.0468</v>
      </c>
    </row>
    <row r="14">
      <c r="A14" s="43" t="n">
        <v>745</v>
      </c>
      <c r="B14" s="44" t="n">
        <v>380.5</v>
      </c>
      <c r="C14" s="44" t="n">
        <v>-247</v>
      </c>
      <c r="D14" s="44" t="n">
        <v>210</v>
      </c>
      <c r="E14" s="44" t="n">
        <v>-62.5</v>
      </c>
      <c r="F14" s="45" t="n">
        <v>281</v>
      </c>
      <c r="G14" s="46" t="n">
        <v>0.2305</v>
      </c>
      <c r="H14" s="49" t="inlineStr">
        <is>
          <t>Max profit</t>
        </is>
      </c>
      <c r="I14" s="48" t="n">
        <v>-0.0404</v>
      </c>
    </row>
    <row r="15">
      <c r="A15" s="37" t="n">
        <v>750</v>
      </c>
      <c r="B15" s="38" t="n">
        <v>380.5</v>
      </c>
      <c r="C15" s="38" t="n">
        <v>-247</v>
      </c>
      <c r="D15" s="38" t="n">
        <v>210</v>
      </c>
      <c r="E15" s="38" t="n">
        <v>-62.5</v>
      </c>
      <c r="F15" s="39" t="n">
        <v>281</v>
      </c>
      <c r="G15" s="40" t="n">
        <v>0.2305</v>
      </c>
      <c r="H15" s="50" t="inlineStr">
        <is>
          <t>Max profit</t>
        </is>
      </c>
      <c r="I15" s="42" t="n">
        <v>-0.0339</v>
      </c>
    </row>
    <row r="16">
      <c r="A16" s="43" t="n">
        <v>755</v>
      </c>
      <c r="B16" s="44" t="n">
        <v>380.5</v>
      </c>
      <c r="C16" s="44" t="n">
        <v>-247</v>
      </c>
      <c r="D16" s="44" t="n">
        <v>210</v>
      </c>
      <c r="E16" s="44" t="n">
        <v>-62.5</v>
      </c>
      <c r="F16" s="45" t="n">
        <v>281</v>
      </c>
      <c r="G16" s="46" t="n">
        <v>0.2305</v>
      </c>
      <c r="H16" s="49" t="inlineStr">
        <is>
          <t>Max profit</t>
        </is>
      </c>
      <c r="I16" s="48" t="n">
        <v>-0.0275</v>
      </c>
    </row>
    <row r="17">
      <c r="A17" s="37" t="n">
        <v>760</v>
      </c>
      <c r="B17" s="38" t="n">
        <v>380.5</v>
      </c>
      <c r="C17" s="38" t="n">
        <v>-247</v>
      </c>
      <c r="D17" s="38" t="n">
        <v>210</v>
      </c>
      <c r="E17" s="38" t="n">
        <v>-62.5</v>
      </c>
      <c r="F17" s="39" t="n">
        <v>281</v>
      </c>
      <c r="G17" s="40" t="n">
        <v>0.2305</v>
      </c>
      <c r="H17" s="50" t="inlineStr">
        <is>
          <t>Max profit</t>
        </is>
      </c>
      <c r="I17" s="42" t="n">
        <v>-0.021</v>
      </c>
    </row>
    <row r="18">
      <c r="A18" s="43" t="n">
        <v>765</v>
      </c>
      <c r="B18" s="44" t="n">
        <v>380.5</v>
      </c>
      <c r="C18" s="44" t="n">
        <v>-247</v>
      </c>
      <c r="D18" s="44" t="n">
        <v>210</v>
      </c>
      <c r="E18" s="44" t="n">
        <v>-62.5</v>
      </c>
      <c r="F18" s="45" t="n">
        <v>281</v>
      </c>
      <c r="G18" s="46" t="n">
        <v>0.2305</v>
      </c>
      <c r="H18" s="49" t="inlineStr">
        <is>
          <t>Max profit</t>
        </is>
      </c>
      <c r="I18" s="48" t="n">
        <v>-0.0146</v>
      </c>
    </row>
    <row r="19">
      <c r="A19" s="37" t="n">
        <v>770</v>
      </c>
      <c r="B19" s="38" t="n">
        <v>380.5</v>
      </c>
      <c r="C19" s="38" t="n">
        <v>-247</v>
      </c>
      <c r="D19" s="38" t="n">
        <v>210</v>
      </c>
      <c r="E19" s="38" t="n">
        <v>-62.5</v>
      </c>
      <c r="F19" s="39" t="n">
        <v>281</v>
      </c>
      <c r="G19" s="40" t="n">
        <v>0.2305</v>
      </c>
      <c r="H19" s="50" t="inlineStr">
        <is>
          <t>Max profit</t>
        </is>
      </c>
      <c r="I19" s="42" t="n">
        <v>-0.008200000000000001</v>
      </c>
    </row>
    <row r="20">
      <c r="A20" s="43" t="n">
        <v>775</v>
      </c>
      <c r="B20" s="44" t="n">
        <v>380.5</v>
      </c>
      <c r="C20" s="44" t="n">
        <v>-247</v>
      </c>
      <c r="D20" s="44" t="n">
        <v>210</v>
      </c>
      <c r="E20" s="44" t="n">
        <v>-62.5</v>
      </c>
      <c r="F20" s="45" t="n">
        <v>281</v>
      </c>
      <c r="G20" s="46" t="n">
        <v>0.2305</v>
      </c>
      <c r="H20" s="49" t="inlineStr">
        <is>
          <t>Max profit</t>
        </is>
      </c>
      <c r="I20" s="48" t="n">
        <v>-0.0017</v>
      </c>
    </row>
    <row r="21">
      <c r="A21" s="37" t="n">
        <v>780</v>
      </c>
      <c r="B21" s="38" t="n">
        <v>380.5</v>
      </c>
      <c r="C21" s="38" t="n">
        <v>-247</v>
      </c>
      <c r="D21" s="38" t="n">
        <v>210</v>
      </c>
      <c r="E21" s="38" t="n">
        <v>-62.5</v>
      </c>
      <c r="F21" s="39" t="n">
        <v>281</v>
      </c>
      <c r="G21" s="40" t="n">
        <v>0.2305</v>
      </c>
      <c r="H21" s="50" t="inlineStr">
        <is>
          <t>Max profit</t>
        </is>
      </c>
      <c r="I21" s="42" t="n">
        <v>0.0047</v>
      </c>
    </row>
    <row r="22">
      <c r="A22" s="43" t="n">
        <v>785</v>
      </c>
      <c r="B22" s="44" t="n">
        <v>380.5</v>
      </c>
      <c r="C22" s="44" t="n">
        <v>-247</v>
      </c>
      <c r="D22" s="44" t="n">
        <v>210</v>
      </c>
      <c r="E22" s="44" t="n">
        <v>-62.5</v>
      </c>
      <c r="F22" s="45" t="n">
        <v>281</v>
      </c>
      <c r="G22" s="46" t="n">
        <v>0.2305</v>
      </c>
      <c r="H22" s="49" t="inlineStr">
        <is>
          <t>Max profit</t>
        </is>
      </c>
      <c r="I22" s="48" t="n">
        <v>0.0112</v>
      </c>
    </row>
    <row r="23">
      <c r="A23" s="37" t="n">
        <v>790</v>
      </c>
      <c r="B23" s="38" t="n">
        <v>380.5</v>
      </c>
      <c r="C23" s="38" t="n">
        <v>-247</v>
      </c>
      <c r="D23" s="38" t="n">
        <v>210</v>
      </c>
      <c r="E23" s="38" t="n">
        <v>-62.5</v>
      </c>
      <c r="F23" s="39" t="n">
        <v>281</v>
      </c>
      <c r="G23" s="40" t="n">
        <v>0.2305</v>
      </c>
      <c r="H23" s="50" t="inlineStr">
        <is>
          <t>Max profit</t>
        </is>
      </c>
      <c r="I23" s="42" t="n">
        <v>0.0176</v>
      </c>
    </row>
    <row r="24">
      <c r="A24" s="43" t="n">
        <v>795</v>
      </c>
      <c r="B24" s="44" t="n">
        <v>380.5</v>
      </c>
      <c r="C24" s="44" t="n">
        <v>-247</v>
      </c>
      <c r="D24" s="44" t="n">
        <v>210</v>
      </c>
      <c r="E24" s="44" t="n">
        <v>-62.5</v>
      </c>
      <c r="F24" s="45" t="n">
        <v>281</v>
      </c>
      <c r="G24" s="46" t="n">
        <v>0.2305</v>
      </c>
      <c r="H24" s="49" t="inlineStr">
        <is>
          <t>Max profit</t>
        </is>
      </c>
      <c r="I24" s="48" t="n">
        <v>0.024</v>
      </c>
    </row>
    <row r="25">
      <c r="A25" s="37" t="n">
        <v>800</v>
      </c>
      <c r="B25" s="38" t="n">
        <v>380.5</v>
      </c>
      <c r="C25" s="38" t="n">
        <v>-247</v>
      </c>
      <c r="D25" s="38" t="n">
        <v>210</v>
      </c>
      <c r="E25" s="38" t="n">
        <v>-62.5</v>
      </c>
      <c r="F25" s="39" t="n">
        <v>281</v>
      </c>
      <c r="G25" s="40" t="n">
        <v>0.2305</v>
      </c>
      <c r="H25" s="50" t="inlineStr">
        <is>
          <t>Max profit</t>
        </is>
      </c>
      <c r="I25" s="42" t="n">
        <v>0.0305</v>
      </c>
    </row>
    <row r="26">
      <c r="A26" s="43" t="n">
        <v>805</v>
      </c>
      <c r="B26" s="44" t="n">
        <v>380.5</v>
      </c>
      <c r="C26" s="44" t="n">
        <v>-247</v>
      </c>
      <c r="D26" s="44" t="n">
        <v>210</v>
      </c>
      <c r="E26" s="44" t="n">
        <v>-62.5</v>
      </c>
      <c r="F26" s="45" t="n">
        <v>281</v>
      </c>
      <c r="G26" s="46" t="n">
        <v>0.2305</v>
      </c>
      <c r="H26" s="49" t="inlineStr">
        <is>
          <t>Max profit</t>
        </is>
      </c>
      <c r="I26" s="48" t="n">
        <v>0.0369</v>
      </c>
    </row>
    <row r="27">
      <c r="A27" s="37" t="n">
        <v>810</v>
      </c>
      <c r="B27" s="38" t="n">
        <v>380.5</v>
      </c>
      <c r="C27" s="38" t="n">
        <v>-247</v>
      </c>
      <c r="D27" s="38" t="n">
        <v>-290</v>
      </c>
      <c r="E27" s="38" t="n">
        <v>-62.5</v>
      </c>
      <c r="F27" s="39" t="n">
        <v>-219</v>
      </c>
      <c r="G27" s="40" t="n">
        <v>-0.1797</v>
      </c>
      <c r="H27" s="41" t="inlineStr">
        <is>
          <t>Loss</t>
        </is>
      </c>
      <c r="I27" s="42" t="n">
        <v>0.0434</v>
      </c>
    </row>
    <row r="28">
      <c r="A28" s="43" t="n">
        <v>815</v>
      </c>
      <c r="B28" s="44" t="n">
        <v>380.5</v>
      </c>
      <c r="C28" s="44" t="n">
        <v>-247</v>
      </c>
      <c r="D28" s="44" t="n">
        <v>-790</v>
      </c>
      <c r="E28" s="44" t="n">
        <v>-62.5</v>
      </c>
      <c r="F28" s="45" t="n">
        <v>-719</v>
      </c>
      <c r="G28" s="46" t="n">
        <v>-0.5898</v>
      </c>
      <c r="H28" s="47" t="inlineStr">
        <is>
          <t>Loss</t>
        </is>
      </c>
      <c r="I28" s="48" t="n">
        <v>0.0498</v>
      </c>
    </row>
    <row r="29">
      <c r="A29" s="37" t="n">
        <v>820</v>
      </c>
      <c r="B29" s="38" t="n">
        <v>380.5</v>
      </c>
      <c r="C29" s="38" t="n">
        <v>-247</v>
      </c>
      <c r="D29" s="38" t="n">
        <v>-1290</v>
      </c>
      <c r="E29" s="38" t="n">
        <v>-62.5</v>
      </c>
      <c r="F29" s="39" t="n">
        <v>-1219</v>
      </c>
      <c r="G29" s="40" t="n">
        <v>-1</v>
      </c>
      <c r="H29" s="41" t="inlineStr">
        <is>
          <t>Max loss</t>
        </is>
      </c>
      <c r="I29" s="42" t="n">
        <v>0.0562</v>
      </c>
    </row>
    <row r="30">
      <c r="A30" s="43" t="n">
        <v>825</v>
      </c>
      <c r="B30" s="44" t="n">
        <v>380.5</v>
      </c>
      <c r="C30" s="44" t="n">
        <v>-247</v>
      </c>
      <c r="D30" s="44" t="n">
        <v>-1790</v>
      </c>
      <c r="E30" s="44" t="n">
        <v>437.5</v>
      </c>
      <c r="F30" s="45" t="n">
        <v>-1219</v>
      </c>
      <c r="G30" s="46" t="n">
        <v>-1</v>
      </c>
      <c r="H30" s="47" t="inlineStr">
        <is>
          <t>Max loss</t>
        </is>
      </c>
      <c r="I30" s="48" t="n">
        <v>0.06270000000000001</v>
      </c>
    </row>
    <row r="31">
      <c r="A31" s="37" t="n">
        <v>830</v>
      </c>
      <c r="B31" s="38" t="n">
        <v>380.5</v>
      </c>
      <c r="C31" s="38" t="n">
        <v>-247</v>
      </c>
      <c r="D31" s="38" t="n">
        <v>-2290</v>
      </c>
      <c r="E31" s="38" t="n">
        <v>937.5</v>
      </c>
      <c r="F31" s="39" t="n">
        <v>-1219</v>
      </c>
      <c r="G31" s="40" t="n">
        <v>-1</v>
      </c>
      <c r="H31" s="41" t="inlineStr">
        <is>
          <t>Max loss</t>
        </is>
      </c>
      <c r="I31" s="42" t="n">
        <v>0.06909999999999999</v>
      </c>
    </row>
    <row r="32">
      <c r="A32" s="43" t="n">
        <v>835</v>
      </c>
      <c r="B32" s="44" t="n">
        <v>380.5</v>
      </c>
      <c r="C32" s="44" t="n">
        <v>-247</v>
      </c>
      <c r="D32" s="44" t="n">
        <v>-2790</v>
      </c>
      <c r="E32" s="44" t="n">
        <v>1437.5</v>
      </c>
      <c r="F32" s="45" t="n">
        <v>-1219</v>
      </c>
      <c r="G32" s="46" t="n">
        <v>-1</v>
      </c>
      <c r="H32" s="47" t="inlineStr">
        <is>
          <t>Max loss</t>
        </is>
      </c>
      <c r="I32" s="48" t="n">
        <v>0.0756</v>
      </c>
    </row>
    <row r="33">
      <c r="A33" s="37" t="n">
        <v>840</v>
      </c>
      <c r="B33" s="38" t="n">
        <v>380.5</v>
      </c>
      <c r="C33" s="38" t="n">
        <v>-247</v>
      </c>
      <c r="D33" s="38" t="n">
        <v>-3290</v>
      </c>
      <c r="E33" s="38" t="n">
        <v>1937.5</v>
      </c>
      <c r="F33" s="39" t="n">
        <v>-1219</v>
      </c>
      <c r="G33" s="40" t="n">
        <v>-1</v>
      </c>
      <c r="H33" s="41" t="inlineStr">
        <is>
          <t>Max loss</t>
        </is>
      </c>
      <c r="I33" s="42" t="n">
        <v>0.082</v>
      </c>
    </row>
    <row r="34">
      <c r="A34" s="43" t="n">
        <v>845</v>
      </c>
      <c r="B34" s="44" t="n">
        <v>380.5</v>
      </c>
      <c r="C34" s="44" t="n">
        <v>-247</v>
      </c>
      <c r="D34" s="44" t="n">
        <v>-3790</v>
      </c>
      <c r="E34" s="44" t="n">
        <v>2437.5</v>
      </c>
      <c r="F34" s="45" t="n">
        <v>-1219</v>
      </c>
      <c r="G34" s="46" t="n">
        <v>-1</v>
      </c>
      <c r="H34" s="47" t="inlineStr">
        <is>
          <t>Max loss</t>
        </is>
      </c>
      <c r="I34" s="48" t="n">
        <v>0.08840000000000001</v>
      </c>
    </row>
    <row r="35">
      <c r="A35" s="37" t="n">
        <v>850</v>
      </c>
      <c r="B35" s="38" t="n">
        <v>380.5</v>
      </c>
      <c r="C35" s="38" t="n">
        <v>-247</v>
      </c>
      <c r="D35" s="38" t="n">
        <v>-4290</v>
      </c>
      <c r="E35" s="38" t="n">
        <v>2937.5</v>
      </c>
      <c r="F35" s="39" t="n">
        <v>-1219</v>
      </c>
      <c r="G35" s="40" t="n">
        <v>-1</v>
      </c>
      <c r="H35" s="41" t="inlineStr">
        <is>
          <t>Max loss</t>
        </is>
      </c>
      <c r="I35" s="42" t="n">
        <v>0.0949</v>
      </c>
    </row>
    <row r="36">
      <c r="A36" s="43" t="n">
        <v>855</v>
      </c>
      <c r="B36" s="44" t="n">
        <v>380.5</v>
      </c>
      <c r="C36" s="44" t="n">
        <v>-247</v>
      </c>
      <c r="D36" s="44" t="n">
        <v>-4790</v>
      </c>
      <c r="E36" s="44" t="n">
        <v>3437.5</v>
      </c>
      <c r="F36" s="45" t="n">
        <v>-1219</v>
      </c>
      <c r="G36" s="46" t="n">
        <v>-1</v>
      </c>
      <c r="H36" s="47" t="inlineStr">
        <is>
          <t>Max loss</t>
        </is>
      </c>
      <c r="I36" s="48" t="n">
        <v>0.1013</v>
      </c>
    </row>
    <row r="37">
      <c r="A37" s="37" t="n">
        <v>860</v>
      </c>
      <c r="B37" s="38" t="n">
        <v>380.5</v>
      </c>
      <c r="C37" s="38" t="n">
        <v>-247</v>
      </c>
      <c r="D37" s="38" t="n">
        <v>-5290</v>
      </c>
      <c r="E37" s="38" t="n">
        <v>3937.5</v>
      </c>
      <c r="F37" s="39" t="n">
        <v>-1219</v>
      </c>
      <c r="G37" s="40" t="n">
        <v>-1</v>
      </c>
      <c r="H37" s="41" t="inlineStr">
        <is>
          <t>Max loss</t>
        </is>
      </c>
      <c r="I37" s="42" t="n">
        <v>0.1078</v>
      </c>
    </row>
    <row r="39">
      <c r="A39" s="51" t="inlineStr">
        <is>
          <t>Each leg column is the sign of the leg times intrinsic value at that price minus the premium, times one hundred. The net column is their sum. Maximum loss is $1,219.00 and maximum profit is $281.00.</t>
        </is>
      </c>
    </row>
    <row r="41">
      <c r="A41" s="9" t="inlineStr">
        <is>
          <t>MarketXLS Functions Used in This Sheet</t>
        </is>
      </c>
    </row>
    <row r="42">
      <c r="A42" s="11">
        <f>QM_Last("SPY")</f>
        <v/>
      </c>
      <c r="B42" s="12" t="inlineStr">
        <is>
          <t>Anchors the distance from spot column</t>
        </is>
      </c>
    </row>
    <row r="43">
      <c r="A43" s="11">
        <f>OPT_IntrinsicValue(OptionSymbol("SPY",DATE(2026,9,18),"P",745),776.34)</f>
        <v/>
      </c>
      <c r="B43" s="12" t="inlineStr">
        <is>
          <t>Intrinsic value of a leg at a given underlying price</t>
        </is>
      </c>
    </row>
    <row r="44">
      <c r="A44" s="11">
        <f>OPT_TimeValue(OptionSymbol("SPY",DATE(2026,9,18),"P",745),3.81,776.34)</f>
        <v/>
      </c>
      <c r="B44" s="12" t="inlineStr">
        <is>
          <t>Splits premium into intrinsic and time value</t>
        </is>
      </c>
    </row>
    <row r="45">
      <c r="A45" s="11">
        <f>Bid(sym) / =Ask(sym)</f>
        <v/>
      </c>
      <c r="B45" s="12" t="inlineStr">
        <is>
          <t>Premium used in every leg column</t>
        </is>
      </c>
    </row>
    <row r="46">
      <c r="A46" s="13" t="inlineStr">
        <is>
          <t>Powered by MarketXLS   |   https://marketxls.com   |   Book a demo: https://marketxls.com/book-demo</t>
        </is>
      </c>
    </row>
  </sheetData>
  <mergeCells count="9">
    <mergeCell ref="A41:I41"/>
    <mergeCell ref="A2:I2"/>
    <mergeCell ref="B44:I44"/>
    <mergeCell ref="B45:I45"/>
    <mergeCell ref="A46:I46"/>
    <mergeCell ref="A1:I1"/>
    <mergeCell ref="B42:I42"/>
    <mergeCell ref="A39:I39"/>
    <mergeCell ref="B43:I43"/>
  </mergeCells>
  <conditionalFormatting sqref="F5:F37">
    <cfRule type="cellIs" priority="1" operator="lessThan" dxfId="1">
      <formula>0</formula>
    </cfRule>
    <cfRule type="cellIs" priority="2" operator="greaterThan" dxfId="2">
      <formula>0</formula>
    </cfRule>
  </conditionalFormatting>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22"/>
  <sheetViews>
    <sheetView showGridLines="0" workbookViewId="0">
      <selection activeCell="A1" sqref="A1"/>
    </sheetView>
  </sheetViews>
  <sheetFormatPr baseColWidth="8" defaultRowHeight="15"/>
  <cols>
    <col width="20" customWidth="1" min="1" max="1"/>
    <col width="34" customWidth="1" min="2" max="2"/>
    <col width="14" customWidth="1" min="3" max="3"/>
    <col width="14" customWidth="1" min="4" max="4"/>
    <col width="14" customWidth="1" min="5" max="5"/>
    <col width="22" customWidth="1" min="6" max="6"/>
    <col width="12" customWidth="1" min="7" max="7"/>
    <col width="13" customWidth="1" min="8" max="8"/>
    <col width="26" customWidth="1" min="9" max="9"/>
  </cols>
  <sheetData>
    <row r="1" ht="30" customHeight="1">
      <c r="A1" s="1" t="inlineStr">
        <is>
          <t>Strategy Library</t>
        </is>
      </c>
    </row>
    <row r="2" ht="18" customHeight="1">
      <c r="A2" s="2" t="inlineStr">
        <is>
          <t>Six structures on the same SPY 2026-09-18 chain, all priced by the same engine</t>
        </is>
      </c>
    </row>
    <row r="4" ht="30" customHeight="1">
      <c r="A4" s="4" t="inlineStr">
        <is>
          <t>Structure</t>
        </is>
      </c>
      <c r="B4" s="4" t="inlineStr">
        <is>
          <t>Legs</t>
        </is>
      </c>
      <c r="C4" s="4" t="inlineStr">
        <is>
          <t>Net cash $</t>
        </is>
      </c>
      <c r="D4" s="4" t="inlineStr">
        <is>
          <t>Max profit</t>
        </is>
      </c>
      <c r="E4" s="4" t="inlineStr">
        <is>
          <t>Max loss</t>
        </is>
      </c>
      <c r="F4" s="4" t="inlineStr">
        <is>
          <t>Breakevens</t>
        </is>
      </c>
      <c r="G4" s="4" t="inlineStr">
        <is>
          <t>R:R</t>
        </is>
      </c>
      <c r="H4" s="4" t="inlineStr">
        <is>
          <t>Breakevens</t>
        </is>
      </c>
      <c r="I4" s="4" t="inlineStr">
        <is>
          <t>Payoff shape</t>
        </is>
      </c>
    </row>
    <row r="5" ht="32" customHeight="1">
      <c r="A5" s="52" t="inlineStr">
        <is>
          <t>Iron condor</t>
        </is>
      </c>
      <c r="B5" s="53" t="inlineStr">
        <is>
          <t>Short Put 745, Long Put 730, Short Call 805, Long Call 820</t>
        </is>
      </c>
      <c r="C5" s="54" t="n">
        <v>-281</v>
      </c>
      <c r="D5" s="54" t="n">
        <v>281</v>
      </c>
      <c r="E5" s="54" t="n">
        <v>-1219</v>
      </c>
      <c r="F5" s="55" t="inlineStr">
        <is>
          <t>742.19, 807.81</t>
        </is>
      </c>
      <c r="G5" s="55" t="n">
        <v>0.23</v>
      </c>
      <c r="H5" s="55" t="n">
        <v>2</v>
      </c>
      <c r="I5" s="53" t="inlineStr">
        <is>
          <t>Flat top between the short strikes, steps down to a floor on both wings</t>
        </is>
      </c>
    </row>
    <row r="6" ht="32" customHeight="1">
      <c r="A6" s="56" t="inlineStr">
        <is>
          <t>Long straddle</t>
        </is>
      </c>
      <c r="B6" s="57" t="inlineStr">
        <is>
          <t>Long Call 775, Long Put 775</t>
        </is>
      </c>
      <c r="C6" s="58" t="n">
        <v>2425.5</v>
      </c>
      <c r="D6" s="59" t="inlineStr">
        <is>
          <t>Unlimited</t>
        </is>
      </c>
      <c r="E6" s="59" t="inlineStr">
        <is>
          <t>Unlimited</t>
        </is>
      </c>
      <c r="F6" s="59" t="inlineStr">
        <is>
          <t>750.74, 799.26</t>
        </is>
      </c>
      <c r="G6" s="59" t="inlineStr">
        <is>
          <t>n/a</t>
        </is>
      </c>
      <c r="H6" s="59" t="n">
        <v>2</v>
      </c>
      <c r="I6" s="57" t="inlineStr">
        <is>
          <t>V shape, trough at the strike, both ends rise without a cap</t>
        </is>
      </c>
    </row>
    <row r="7" ht="32" customHeight="1">
      <c r="A7" s="52" t="inlineStr">
        <is>
          <t>Bull call spread</t>
        </is>
      </c>
      <c r="B7" s="53" t="inlineStr">
        <is>
          <t>Long Call 775, Short Call 795</t>
        </is>
      </c>
      <c r="C7" s="54" t="n">
        <v>913.5</v>
      </c>
      <c r="D7" s="54" t="n">
        <v>1086.5</v>
      </c>
      <c r="E7" s="54" t="n">
        <v>-913.5</v>
      </c>
      <c r="F7" s="55" t="inlineStr">
        <is>
          <t>784.13</t>
        </is>
      </c>
      <c r="G7" s="55" t="n">
        <v>1.19</v>
      </c>
      <c r="H7" s="55" t="n">
        <v>1</v>
      </c>
      <c r="I7" s="53" t="inlineStr">
        <is>
          <t>Flat, ramp, flat. Two elbows and a ceiling</t>
        </is>
      </c>
    </row>
    <row r="8" ht="32" customHeight="1">
      <c r="A8" s="56" t="inlineStr">
        <is>
          <t>Cash secured put</t>
        </is>
      </c>
      <c r="B8" s="57" t="inlineStr">
        <is>
          <t>Short Put 760</t>
        </is>
      </c>
      <c r="C8" s="58" t="n">
        <v>-623.5</v>
      </c>
      <c r="D8" s="58" t="n">
        <v>623.5</v>
      </c>
      <c r="E8" s="58" t="n">
        <v>-37376.5</v>
      </c>
      <c r="F8" s="59" t="inlineStr">
        <is>
          <t>753.77</t>
        </is>
      </c>
      <c r="G8" s="59" t="n">
        <v>0.02</v>
      </c>
      <c r="H8" s="59" t="n">
        <v>1</v>
      </c>
      <c r="I8" s="57" t="inlineStr">
        <is>
          <t>Flat above the strike, falls one for one below it</t>
        </is>
      </c>
    </row>
    <row r="9" ht="32" customHeight="1">
      <c r="A9" s="52" t="inlineStr">
        <is>
          <t>Call butterfly</t>
        </is>
      </c>
      <c r="B9" s="53" t="inlineStr">
        <is>
          <t>Long Call 765, Short 2Call 780, Long Call 795</t>
        </is>
      </c>
      <c r="C9" s="54" t="n">
        <v>400</v>
      </c>
      <c r="D9" s="54" t="n">
        <v>1100</v>
      </c>
      <c r="E9" s="54" t="n">
        <v>-400</v>
      </c>
      <c r="F9" s="55" t="inlineStr">
        <is>
          <t>769.00, 791.00</t>
        </is>
      </c>
      <c r="G9" s="55" t="n">
        <v>2.75</v>
      </c>
      <c r="H9" s="55" t="n">
        <v>2</v>
      </c>
      <c r="I9" s="53" t="inlineStr">
        <is>
          <t>Tent. Peak at the middle strike, floors on both sides</t>
        </is>
      </c>
    </row>
    <row r="10" ht="32" customHeight="1">
      <c r="A10" s="56" t="inlineStr">
        <is>
          <t>Collar</t>
        </is>
      </c>
      <c r="B10" s="57" t="inlineStr">
        <is>
          <t>Long Stock, Long Put 760, Short Call 795</t>
        </is>
      </c>
      <c r="C10" s="58" t="n">
        <v>77821.5</v>
      </c>
      <c r="D10" s="58" t="n">
        <v>1678.5</v>
      </c>
      <c r="E10" s="58" t="n">
        <v>-1821.5</v>
      </c>
      <c r="F10" s="59" t="inlineStr">
        <is>
          <t>778.21</t>
        </is>
      </c>
      <c r="G10" s="59" t="n">
        <v>0.92</v>
      </c>
      <c r="H10" s="59" t="n">
        <v>1</v>
      </c>
      <c r="I10" s="57" t="inlineStr">
        <is>
          <t>Stock line with a floor under the put and a ceiling over the call</t>
        </is>
      </c>
    </row>
    <row r="12">
      <c r="A12" s="12" t="inlineStr">
        <is>
          <t xml:space="preserve">  Net cash is positive when the structure pays you to open it and negative when you pay.</t>
        </is>
      </c>
    </row>
    <row r="13">
      <c r="A13" s="12" t="inlineStr">
        <is>
          <t xml:space="preserve">  The collar row carries the stock purchase inside its net cash figure, which is why it is large.</t>
        </is>
      </c>
    </row>
    <row r="14">
      <c r="A14" s="12" t="inlineStr">
        <is>
          <t xml:space="preserve">  Unlimited means the payoff line still has slope at the edge of the scan, so no cap exists.</t>
        </is>
      </c>
    </row>
    <row r="15">
      <c r="A15" s="12" t="inlineStr">
        <is>
          <t xml:space="preserve">  Count the breakevens before trading. Three of these six structures have two.</t>
        </is>
      </c>
    </row>
    <row r="17">
      <c r="A17" s="9" t="inlineStr">
        <is>
          <t>MarketXLS Functions Used in This Sheet</t>
        </is>
      </c>
    </row>
    <row r="18">
      <c r="A18" s="11">
        <f>OptionSymbol("SPY",DATE(2026,9,18),"C",805)</f>
        <v/>
      </c>
      <c r="B18" s="12" t="inlineStr">
        <is>
          <t>Contract symbol for each structure leg</t>
        </is>
      </c>
    </row>
    <row r="19">
      <c r="A19" s="11">
        <f>Bid(sym) / =Ask(sym)</f>
        <v/>
      </c>
      <c r="B19" s="12" t="inlineStr">
        <is>
          <t>Premium for every leg in the library</t>
        </is>
      </c>
    </row>
    <row r="20">
      <c r="A20" s="11">
        <f>QM_OpenInterest(OptionSymbol("SPY",DATE(2026,9,18),"C",805))</f>
        <v/>
      </c>
      <c r="B20" s="12" t="inlineStr">
        <is>
          <t>Liquidity check before committing to a structure</t>
        </is>
      </c>
    </row>
    <row r="21">
      <c r="A21" s="11">
        <f>opt_PutCallOIRatio("SPY")</f>
        <v/>
      </c>
      <c r="B21" s="12" t="inlineStr">
        <is>
          <t>Put to call open interest ratio for the underlying</t>
        </is>
      </c>
    </row>
    <row r="22">
      <c r="A22" s="13" t="inlineStr">
        <is>
          <t>Powered by MarketXLS   |   https://marketxls.com   |   Book a demo: https://marketxls.com/book-demo</t>
        </is>
      </c>
    </row>
  </sheetData>
  <mergeCells count="12">
    <mergeCell ref="A15:I15"/>
    <mergeCell ref="B18:I18"/>
    <mergeCell ref="B21:I21"/>
    <mergeCell ref="A2:I2"/>
    <mergeCell ref="A13:I13"/>
    <mergeCell ref="A14:I14"/>
    <mergeCell ref="B20:I20"/>
    <mergeCell ref="A1:I1"/>
    <mergeCell ref="A17:I17"/>
    <mergeCell ref="B19:I19"/>
    <mergeCell ref="A22:I22"/>
    <mergeCell ref="A12:I12"/>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31"/>
  <sheetViews>
    <sheetView showGridLines="0" workbookViewId="0">
      <selection activeCell="A1" sqref="A1"/>
    </sheetView>
  </sheetViews>
  <sheetFormatPr baseColWidth="8" defaultRowHeight="15"/>
  <cols>
    <col width="30" customWidth="1" min="1" max="1"/>
    <col width="18" customWidth="1" min="2" max="2"/>
    <col width="14" customWidth="1" min="3" max="3"/>
    <col width="46" customWidth="1" min="4" max="4"/>
    <col width="14" customWidth="1" min="5" max="5"/>
    <col width="14" customWidth="1" min="6" max="6"/>
    <col width="14" customWidth="1" min="7" max="7"/>
  </cols>
  <sheetData>
    <row r="1" ht="30" customHeight="1">
      <c r="A1" s="1" t="inlineStr">
        <is>
          <t>Position Sizing</t>
        </is>
      </c>
    </row>
    <row r="2" ht="18" customHeight="1">
      <c r="A2" s="2" t="inlineStr">
        <is>
          <t>Account size and a risk budget decide the contract count, not the other way round</t>
        </is>
      </c>
    </row>
    <row r="4">
      <c r="A4" s="9" t="inlineStr">
        <is>
          <t>Inputs</t>
        </is>
      </c>
    </row>
    <row r="5">
      <c r="A5" s="5" t="inlineStr">
        <is>
          <t>Account size</t>
        </is>
      </c>
      <c r="B5" s="60" t="n">
        <v>100000</v>
      </c>
    </row>
    <row r="6">
      <c r="A6" s="5" t="inlineStr">
        <is>
          <t>Maximum risk per trade</t>
        </is>
      </c>
      <c r="B6" s="61" t="n">
        <v>0.02</v>
      </c>
    </row>
    <row r="7">
      <c r="A7" s="5" t="inlineStr">
        <is>
          <t>Maximum loss per contract set</t>
        </is>
      </c>
      <c r="B7" s="14" t="n">
        <v>1219</v>
      </c>
    </row>
    <row r="8">
      <c r="A8" s="5" t="inlineStr">
        <is>
          <t>Risk budget in dollars</t>
        </is>
      </c>
      <c r="B8" s="62">
        <f>B5*B6</f>
        <v/>
      </c>
    </row>
    <row r="9">
      <c r="A9" s="5" t="inlineStr">
        <is>
          <t>Contracts that fit the budget</t>
        </is>
      </c>
      <c r="B9" s="63">
        <f>INT(B8/B7)</f>
        <v/>
      </c>
    </row>
    <row r="11">
      <c r="A11" s="9" t="inlineStr">
        <is>
          <t>Risk ladder</t>
        </is>
      </c>
    </row>
    <row r="12" ht="30" customHeight="1">
      <c r="A12" s="4" t="inlineStr">
        <is>
          <t>Risk per trade</t>
        </is>
      </c>
      <c r="B12" s="4" t="inlineStr">
        <is>
          <t>Risk budget $</t>
        </is>
      </c>
      <c r="C12" s="4" t="inlineStr">
        <is>
          <t>Contracts</t>
        </is>
      </c>
      <c r="D12" s="4" t="inlineStr">
        <is>
          <t>Total capital at risk</t>
        </is>
      </c>
      <c r="E12" s="4" t="inlineStr">
        <is>
          <t>Max profit if held</t>
        </is>
      </c>
      <c r="F12" s="4" t="inlineStr">
        <is>
          <t>Return on risk</t>
        </is>
      </c>
      <c r="G12" s="4" t="inlineStr">
        <is>
          <t>Share of account</t>
        </is>
      </c>
    </row>
    <row r="13">
      <c r="A13" s="64" t="n">
        <v>0.005</v>
      </c>
      <c r="B13" s="65" t="n">
        <v>500</v>
      </c>
      <c r="C13" s="66" t="n">
        <v>0</v>
      </c>
      <c r="D13" s="65" t="n">
        <v>0</v>
      </c>
      <c r="E13" s="65" t="n">
        <v>0</v>
      </c>
      <c r="F13" s="64" t="n">
        <v>0</v>
      </c>
      <c r="G13" s="64" t="n">
        <v>0</v>
      </c>
    </row>
    <row r="14">
      <c r="A14" s="67" t="n">
        <v>0.01</v>
      </c>
      <c r="B14" s="68" t="n">
        <v>1000</v>
      </c>
      <c r="C14" s="69" t="n">
        <v>0</v>
      </c>
      <c r="D14" s="68" t="n">
        <v>0</v>
      </c>
      <c r="E14" s="68" t="n">
        <v>0</v>
      </c>
      <c r="F14" s="67" t="n">
        <v>0</v>
      </c>
      <c r="G14" s="67" t="n">
        <v>0</v>
      </c>
    </row>
    <row r="15">
      <c r="A15" s="64" t="n">
        <v>0.015</v>
      </c>
      <c r="B15" s="65" t="n">
        <v>1500</v>
      </c>
      <c r="C15" s="66" t="n">
        <v>1</v>
      </c>
      <c r="D15" s="65" t="n">
        <v>1219</v>
      </c>
      <c r="E15" s="65" t="n">
        <v>281</v>
      </c>
      <c r="F15" s="64" t="n">
        <v>0.2305168170631665</v>
      </c>
      <c r="G15" s="64" t="n">
        <v>0.01219</v>
      </c>
    </row>
    <row r="16">
      <c r="A16" s="67" t="n">
        <v>0.02</v>
      </c>
      <c r="B16" s="68" t="n">
        <v>2000</v>
      </c>
      <c r="C16" s="69" t="n">
        <v>1</v>
      </c>
      <c r="D16" s="68" t="n">
        <v>1219</v>
      </c>
      <c r="E16" s="68" t="n">
        <v>281</v>
      </c>
      <c r="F16" s="67" t="n">
        <v>0.2305168170631665</v>
      </c>
      <c r="G16" s="67" t="n">
        <v>0.01219</v>
      </c>
    </row>
    <row r="17">
      <c r="A17" s="64" t="n">
        <v>0.025</v>
      </c>
      <c r="B17" s="65" t="n">
        <v>2500</v>
      </c>
      <c r="C17" s="66" t="n">
        <v>2</v>
      </c>
      <c r="D17" s="65" t="n">
        <v>2438</v>
      </c>
      <c r="E17" s="65" t="n">
        <v>562</v>
      </c>
      <c r="F17" s="64" t="n">
        <v>0.2305168170631665</v>
      </c>
      <c r="G17" s="64" t="n">
        <v>0.02438</v>
      </c>
    </row>
    <row r="18">
      <c r="A18" s="67" t="n">
        <v>0.03</v>
      </c>
      <c r="B18" s="68" t="n">
        <v>3000</v>
      </c>
      <c r="C18" s="69" t="n">
        <v>2</v>
      </c>
      <c r="D18" s="68" t="n">
        <v>2438</v>
      </c>
      <c r="E18" s="68" t="n">
        <v>562</v>
      </c>
      <c r="F18" s="67" t="n">
        <v>0.2305168170631665</v>
      </c>
      <c r="G18" s="67" t="n">
        <v>0.02438</v>
      </c>
    </row>
    <row r="19">
      <c r="A19" s="64" t="n">
        <v>0.05</v>
      </c>
      <c r="B19" s="65" t="n">
        <v>5000</v>
      </c>
      <c r="C19" s="66" t="n">
        <v>4</v>
      </c>
      <c r="D19" s="65" t="n">
        <v>4876</v>
      </c>
      <c r="E19" s="65" t="n">
        <v>1124</v>
      </c>
      <c r="F19" s="64" t="n">
        <v>0.2305168170631665</v>
      </c>
      <c r="G19" s="64" t="n">
        <v>0.04876</v>
      </c>
    </row>
    <row r="21">
      <c r="A21" s="12" t="inlineStr">
        <is>
          <t xml:space="preserve">  Every row uses the same $1,219.00 maximum loss per contract set from the calculator sheet.</t>
        </is>
      </c>
    </row>
    <row r="22">
      <c r="A22" s="12" t="inlineStr">
        <is>
          <t xml:space="preserve">  Change the structure and the maximum loss changes, so the contract count changes with it.</t>
        </is>
      </c>
    </row>
    <row r="23">
      <c r="A23" s="12" t="inlineStr">
        <is>
          <t xml:space="preserve">  A defined risk structure lets a broker hold exactly the maximum loss, which is why the sizing arithmetic is this direct.</t>
        </is>
      </c>
    </row>
    <row r="24">
      <c r="A24" s="12" t="inlineStr">
        <is>
          <t xml:space="preserve">  Educational template only. Nothing here is investment advice.</t>
        </is>
      </c>
    </row>
    <row r="26">
      <c r="A26" s="9" t="inlineStr">
        <is>
          <t>MarketXLS Functions Used in This Sheet</t>
        </is>
      </c>
    </row>
    <row r="27">
      <c r="A27" s="11">
        <f>QM_Last("SPY")</f>
        <v/>
      </c>
      <c r="B27" s="12" t="inlineStr">
        <is>
          <t>Underlying price for the notional comparison</t>
        </is>
      </c>
    </row>
    <row r="28">
      <c r="A28" s="11">
        <f>Beta("SPY")</f>
        <v/>
      </c>
      <c r="B28" s="12" t="inlineStr">
        <is>
          <t>Beta of the underlying against the market</t>
        </is>
      </c>
    </row>
    <row r="29">
      <c r="A29" s="11">
        <f>AverageDailyVolume("SPY")</f>
        <v/>
      </c>
      <c r="B29" s="12" t="inlineStr">
        <is>
          <t>Liquidity of the underlying before sizing up</t>
        </is>
      </c>
    </row>
    <row r="30">
      <c r="A30" s="11">
        <f>QM_OpenInterest(OptionSymbol("SPY",DATE(2026,9,18),"P",745))</f>
        <v/>
      </c>
      <c r="B30" s="12" t="inlineStr">
        <is>
          <t>Open interest on the leg you are sizing</t>
        </is>
      </c>
    </row>
    <row r="31">
      <c r="A31" s="13" t="inlineStr">
        <is>
          <t>Powered by MarketXLS   |   https://marketxls.com   |   Book a demo: https://marketxls.com/book-demo</t>
        </is>
      </c>
    </row>
  </sheetData>
  <mergeCells count="14">
    <mergeCell ref="A1:G1"/>
    <mergeCell ref="B28:G28"/>
    <mergeCell ref="A31:G31"/>
    <mergeCell ref="A21:G21"/>
    <mergeCell ref="A22:G22"/>
    <mergeCell ref="B27:G27"/>
    <mergeCell ref="A4:G4"/>
    <mergeCell ref="A26:G26"/>
    <mergeCell ref="A24:G24"/>
    <mergeCell ref="A2:G2"/>
    <mergeCell ref="B30:G30"/>
    <mergeCell ref="A11:G11"/>
    <mergeCell ref="B29:G29"/>
    <mergeCell ref="A23:G23"/>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M39"/>
  <sheetViews>
    <sheetView showGridLines="0" workbookViewId="0">
      <pane xSplit="2" ySplit="4" topLeftCell="C5" activePane="bottomRight" state="frozen"/>
      <selection pane="topRight"/>
      <selection pane="bottomLeft"/>
      <selection pane="bottomRight" activeCell="A1" sqref="A1"/>
    </sheetView>
  </sheetViews>
  <sheetFormatPr baseColWidth="8" defaultRowHeight="15"/>
  <cols>
    <col width="8" customWidth="1" min="1" max="1"/>
    <col width="10" customWidth="1" min="2" max="2"/>
    <col width="11" customWidth="1" min="3" max="3"/>
    <col width="11" customWidth="1" min="4" max="4"/>
    <col width="11" customWidth="1" min="5" max="5"/>
    <col width="11" customWidth="1" min="6" max="6"/>
    <col width="11" customWidth="1" min="7" max="7"/>
    <col width="11" customWidth="1" min="8" max="8"/>
    <col width="11" customWidth="1" min="9" max="9"/>
    <col width="11" customWidth="1" min="10" max="10"/>
    <col width="11" customWidth="1" min="11" max="11"/>
    <col width="13" customWidth="1" min="12" max="12"/>
    <col width="42" customWidth="1" min="13" max="13"/>
  </cols>
  <sheetData>
    <row r="1" ht="30" customHeight="1">
      <c r="A1" s="1" t="inlineStr">
        <is>
          <t>Leg Detail</t>
        </is>
      </c>
    </row>
    <row r="2" ht="18" customHeight="1">
      <c r="A2" s="2" t="inlineStr">
        <is>
          <t>SPY 2026-09-18 chain snapshot. Implied volatility solved from each contract's own mid against a parity forward of 777.75.</t>
        </is>
      </c>
    </row>
    <row r="4" ht="30" customHeight="1">
      <c r="A4" s="4" t="inlineStr">
        <is>
          <t>Type</t>
        </is>
      </c>
      <c r="B4" s="4" t="inlineStr">
        <is>
          <t>Strike</t>
        </is>
      </c>
      <c r="C4" s="4" t="inlineStr">
        <is>
          <t>Bid</t>
        </is>
      </c>
      <c r="D4" s="4" t="inlineStr">
        <is>
          <t>Ask</t>
        </is>
      </c>
      <c r="E4" s="4" t="inlineStr">
        <is>
          <t>Mid</t>
        </is>
      </c>
      <c r="F4" s="4" t="inlineStr">
        <is>
          <t>IV</t>
        </is>
      </c>
      <c r="G4" s="4" t="inlineStr">
        <is>
          <t>Open int</t>
        </is>
      </c>
      <c r="H4" s="4" t="inlineStr">
        <is>
          <t>Delta</t>
        </is>
      </c>
      <c r="I4" s="4" t="inlineStr">
        <is>
          <t>Gamma</t>
        </is>
      </c>
      <c r="J4" s="4" t="inlineStr">
        <is>
          <t>Theta</t>
        </is>
      </c>
      <c r="K4" s="4" t="inlineStr">
        <is>
          <t>Vega</t>
        </is>
      </c>
      <c r="L4" s="4" t="inlineStr">
        <is>
          <t>Intrinsic</t>
        </is>
      </c>
      <c r="M4" s="4" t="inlineStr">
        <is>
          <t>Live formula</t>
        </is>
      </c>
    </row>
    <row r="5">
      <c r="A5" s="70" t="inlineStr">
        <is>
          <t>Call</t>
        </is>
      </c>
      <c r="B5" s="71" t="n">
        <v>730</v>
      </c>
      <c r="C5" s="71" t="n">
        <v>49.28</v>
      </c>
      <c r="D5" s="71" t="n">
        <v>52.04</v>
      </c>
      <c r="E5" s="71" t="n">
        <v>50.66</v>
      </c>
      <c r="F5" s="72" t="n">
        <v>0.19122</v>
      </c>
      <c r="G5" s="73" t="n">
        <v>30202</v>
      </c>
      <c r="H5" s="74" t="n">
        <v>0.8658552627446099</v>
      </c>
      <c r="I5" s="75" t="n">
        <v>0.004721347107376447</v>
      </c>
      <c r="J5" s="74" t="n">
        <v>-0.1727323647007001</v>
      </c>
      <c r="K5" s="74" t="n">
        <v>0.5068614052603322</v>
      </c>
      <c r="L5" s="71" t="n">
        <v>46.34000000000003</v>
      </c>
      <c r="M5" s="76">
        <f>opt_Delta(776.34,50.66,"2026-09-18","Call",730,0.04,0.020587)</f>
        <v/>
      </c>
    </row>
    <row r="6">
      <c r="A6" s="70" t="inlineStr">
        <is>
          <t>Put</t>
        </is>
      </c>
      <c r="B6" s="71" t="n">
        <v>730</v>
      </c>
      <c r="C6" s="71" t="n">
        <v>2.46</v>
      </c>
      <c r="D6" s="71" t="n">
        <v>2.48</v>
      </c>
      <c r="E6" s="71" t="n">
        <v>2.47</v>
      </c>
      <c r="F6" s="72" t="n">
        <v>0.178416</v>
      </c>
      <c r="G6" s="73" t="n">
        <v>40874</v>
      </c>
      <c r="H6" s="74" t="n">
        <v>-0.1166652369784542</v>
      </c>
      <c r="I6" s="75" t="n">
        <v>0.004636001263371378</v>
      </c>
      <c r="J6" s="74" t="n">
        <v>-0.1167527798048346</v>
      </c>
      <c r="K6" s="74" t="n">
        <v>0.4643733876542395</v>
      </c>
      <c r="L6" s="71" t="n">
        <v>0</v>
      </c>
      <c r="M6" s="76">
        <f>opt_Delta(776.34,2.47,"2026-09-18","Put",730,0.04,0.020587)</f>
        <v/>
      </c>
    </row>
    <row r="7">
      <c r="A7" s="77" t="inlineStr">
        <is>
          <t>Call</t>
        </is>
      </c>
      <c r="B7" s="78" t="n">
        <v>745</v>
      </c>
      <c r="C7" s="78" t="n">
        <v>35.58</v>
      </c>
      <c r="D7" s="78" t="n">
        <v>38.3</v>
      </c>
      <c r="E7" s="78" t="n">
        <v>36.94</v>
      </c>
      <c r="F7" s="79" t="n">
        <v>0.16731</v>
      </c>
      <c r="G7" s="80" t="n">
        <v>16430</v>
      </c>
      <c r="H7" s="81" t="n">
        <v>0.8057288150579487</v>
      </c>
      <c r="I7" s="82" t="n">
        <v>0.006891981705836091</v>
      </c>
      <c r="J7" s="81" t="n">
        <v>-0.1885036933919619</v>
      </c>
      <c r="K7" s="81" t="n">
        <v>0.6473751047176254</v>
      </c>
      <c r="L7" s="78" t="n">
        <v>31.34000000000003</v>
      </c>
      <c r="M7" s="83">
        <f>opt_Delta(776.34,36.94,"2026-09-18","Call",745,0.04,0.020587)</f>
        <v/>
      </c>
    </row>
    <row r="8">
      <c r="A8" s="77" t="inlineStr">
        <is>
          <t>Put</t>
        </is>
      </c>
      <c r="B8" s="78" t="n">
        <v>745</v>
      </c>
      <c r="C8" s="78" t="n">
        <v>3.79</v>
      </c>
      <c r="D8" s="78" t="n">
        <v>3.82</v>
      </c>
      <c r="E8" s="78" t="n">
        <v>3.805</v>
      </c>
      <c r="F8" s="79" t="n">
        <v>0.159266</v>
      </c>
      <c r="G8" s="80" t="n">
        <v>14687</v>
      </c>
      <c r="H8" s="81" t="n">
        <v>-0.1812696838935694</v>
      </c>
      <c r="I8" s="82" t="n">
        <v>0.006979086905069608</v>
      </c>
      <c r="J8" s="81" t="n">
        <v>-0.1382573528052584</v>
      </c>
      <c r="K8" s="81" t="n">
        <v>0.6240388935679346</v>
      </c>
      <c r="L8" s="78" t="n">
        <v>0</v>
      </c>
      <c r="M8" s="83">
        <f>opt_Delta(776.34,3.805,"2026-09-18","Put",745,0.04,0.020587)</f>
        <v/>
      </c>
    </row>
    <row r="9">
      <c r="A9" s="70" t="inlineStr">
        <is>
          <t>Call</t>
        </is>
      </c>
      <c r="B9" s="71" t="n">
        <v>760</v>
      </c>
      <c r="C9" s="71" t="n">
        <v>22.87</v>
      </c>
      <c r="D9" s="71" t="n">
        <v>25.51</v>
      </c>
      <c r="E9" s="71" t="n">
        <v>24.19</v>
      </c>
      <c r="F9" s="72" t="n">
        <v>0.14536</v>
      </c>
      <c r="G9" s="73" t="n">
        <v>21142</v>
      </c>
      <c r="H9" s="74" t="n">
        <v>0.7048843848983769</v>
      </c>
      <c r="I9" s="75" t="n">
        <v>0.009979228850481371</v>
      </c>
      <c r="J9" s="74" t="n">
        <v>-0.2005417943993911</v>
      </c>
      <c r="K9" s="74" t="n">
        <v>0.8143889562522175</v>
      </c>
      <c r="L9" s="71" t="n">
        <v>16.34000000000003</v>
      </c>
      <c r="M9" s="76">
        <f>opt_Delta(776.34,24.19,"2026-09-18","Call",760,0.04,0.020587)</f>
        <v/>
      </c>
    </row>
    <row r="10">
      <c r="A10" s="70" t="inlineStr">
        <is>
          <t>Put</t>
        </is>
      </c>
      <c r="B10" s="71" t="n">
        <v>760</v>
      </c>
      <c r="C10" s="71" t="n">
        <v>6.22</v>
      </c>
      <c r="D10" s="71" t="n">
        <v>6.25</v>
      </c>
      <c r="E10" s="71" t="n">
        <v>6.235</v>
      </c>
      <c r="F10" s="72" t="n">
        <v>0.141962</v>
      </c>
      <c r="G10" s="73" t="n">
        <v>28097</v>
      </c>
      <c r="H10" s="74" t="n">
        <v>-0.2891113201543343</v>
      </c>
      <c r="I10" s="75" t="n">
        <v>0.01015143735914393</v>
      </c>
      <c r="J10" s="74" t="n">
        <v>-0.1562881300682488</v>
      </c>
      <c r="K10" s="74" t="n">
        <v>0.8090765750463469</v>
      </c>
      <c r="L10" s="71" t="n">
        <v>0</v>
      </c>
      <c r="M10" s="76">
        <f>opt_Delta(776.34,6.235,"2026-09-18","Put",760,0.04,0.020587)</f>
        <v/>
      </c>
    </row>
    <row r="11">
      <c r="A11" s="77" t="inlineStr">
        <is>
          <t>Call</t>
        </is>
      </c>
      <c r="B11" s="78" t="n">
        <v>765</v>
      </c>
      <c r="C11" s="78" t="n">
        <v>20</v>
      </c>
      <c r="D11" s="78" t="n">
        <v>21.66</v>
      </c>
      <c r="E11" s="78" t="n">
        <v>20.83</v>
      </c>
      <c r="F11" s="79" t="n">
        <v>0.144766</v>
      </c>
      <c r="G11" s="80" t="n">
        <v>16932</v>
      </c>
      <c r="H11" s="81" t="n">
        <v>0.6527155494257618</v>
      </c>
      <c r="I11" s="82" t="n">
        <v>0.01073256968468102</v>
      </c>
      <c r="J11" s="81" t="n">
        <v>-0.2103708907356558</v>
      </c>
      <c r="K11" s="81" t="n">
        <v>0.8722887486653748</v>
      </c>
      <c r="L11" s="78" t="n">
        <v>11.34000000000003</v>
      </c>
      <c r="M11" s="83">
        <f>opt_Delta(776.34,20.83,"2026-09-18","Call",765,0.04,0.020587)</f>
        <v/>
      </c>
    </row>
    <row r="12">
      <c r="A12" s="77" t="inlineStr">
        <is>
          <t>Put</t>
        </is>
      </c>
      <c r="B12" s="78" t="n">
        <v>765</v>
      </c>
      <c r="C12" s="78" t="n">
        <v>7.42</v>
      </c>
      <c r="D12" s="78" t="n">
        <v>7.47</v>
      </c>
      <c r="E12" s="78" t="n">
        <v>7.445</v>
      </c>
      <c r="F12" s="79" t="n">
        <v>0.136856</v>
      </c>
      <c r="G12" s="80" t="n">
        <v>12623</v>
      </c>
      <c r="H12" s="81" t="n">
        <v>-0.3378865955927806</v>
      </c>
      <c r="I12" s="82" t="n">
        <v>0.01125915623636918</v>
      </c>
      <c r="J12" s="81" t="n">
        <v>-0.1593388924318472</v>
      </c>
      <c r="K12" s="81" t="n">
        <v>0.865086763586505</v>
      </c>
      <c r="L12" s="78" t="n">
        <v>0</v>
      </c>
      <c r="M12" s="83">
        <f>opt_Delta(776.34,7.445,"2026-09-18","Put",765,0.04,0.020587)</f>
        <v/>
      </c>
    </row>
    <row r="13">
      <c r="A13" s="70" t="inlineStr">
        <is>
          <t>Call</t>
        </is>
      </c>
      <c r="B13" s="71" t="n">
        <v>775</v>
      </c>
      <c r="C13" s="71" t="n">
        <v>13.45</v>
      </c>
      <c r="D13" s="71" t="n">
        <v>13.54</v>
      </c>
      <c r="E13" s="71" t="n">
        <v>13.495</v>
      </c>
      <c r="F13" s="72" t="n">
        <v>0.128256</v>
      </c>
      <c r="G13" s="73" t="n">
        <v>11962</v>
      </c>
      <c r="H13" s="74" t="n">
        <v>0.5427142962291194</v>
      </c>
      <c r="I13" s="75" t="n">
        <v>0.01302362214102535</v>
      </c>
      <c r="J13" s="74" t="n">
        <v>-0.1978058515509653</v>
      </c>
      <c r="K13" s="74" t="n">
        <v>0.9377767423119647</v>
      </c>
      <c r="L13" s="71" t="n">
        <v>1.340000000000032</v>
      </c>
      <c r="M13" s="76">
        <f>opt_Delta(776.34,13.495,"2026-09-18","Call",775,0.04,0.020587)</f>
        <v/>
      </c>
    </row>
    <row r="14">
      <c r="A14" s="70" t="inlineStr">
        <is>
          <t>Put</t>
        </is>
      </c>
      <c r="B14" s="71" t="n">
        <v>775</v>
      </c>
      <c r="C14" s="71" t="n">
        <v>10.73</v>
      </c>
      <c r="D14" s="71" t="n">
        <v>10.79</v>
      </c>
      <c r="E14" s="71" t="n">
        <v>10.76</v>
      </c>
      <c r="F14" s="72" t="n">
        <v>0.128256</v>
      </c>
      <c r="G14" s="73" t="n">
        <v>25234</v>
      </c>
      <c r="H14" s="74" t="n">
        <v>-0.455369848218868</v>
      </c>
      <c r="I14" s="75" t="n">
        <v>0.01302362214102535</v>
      </c>
      <c r="J14" s="74" t="n">
        <v>-0.1568940250357518</v>
      </c>
      <c r="K14" s="74" t="n">
        <v>0.9377767423119647</v>
      </c>
      <c r="L14" s="71" t="n">
        <v>0</v>
      </c>
      <c r="M14" s="76">
        <f>opt_Delta(776.34,10.76,"2026-09-18","Put",775,0.04,0.020587)</f>
        <v/>
      </c>
    </row>
    <row r="15">
      <c r="A15" s="77" t="inlineStr">
        <is>
          <t>Call</t>
        </is>
      </c>
      <c r="B15" s="78" t="n">
        <v>780</v>
      </c>
      <c r="C15" s="78" t="n">
        <v>10.55</v>
      </c>
      <c r="D15" s="78" t="n">
        <v>10.64</v>
      </c>
      <c r="E15" s="78" t="n">
        <v>10.595</v>
      </c>
      <c r="F15" s="79" t="n">
        <v>0.123669</v>
      </c>
      <c r="G15" s="80" t="n">
        <v>17705</v>
      </c>
      <c r="H15" s="81" t="n">
        <v>0.476029035961293</v>
      </c>
      <c r="I15" s="82" t="n">
        <v>0.01356579421188619</v>
      </c>
      <c r="J15" s="81" t="n">
        <v>-0.1897907591867898</v>
      </c>
      <c r="K15" s="81" t="n">
        <v>0.9418810360127887</v>
      </c>
      <c r="L15" s="78" t="n">
        <v>0</v>
      </c>
      <c r="M15" s="83">
        <f>opt_Delta(776.34,10.595,"2026-09-18","Call",780,0.04,0.020587)</f>
        <v/>
      </c>
    </row>
    <row r="16">
      <c r="A16" s="77" t="inlineStr">
        <is>
          <t>Put</t>
        </is>
      </c>
      <c r="B16" s="78" t="n">
        <v>780</v>
      </c>
      <c r="C16" s="78" t="n">
        <v>12.93</v>
      </c>
      <c r="D16" s="78" t="n">
        <v>12.99</v>
      </c>
      <c r="E16" s="78" t="n">
        <v>12.96</v>
      </c>
      <c r="F16" s="79" t="n">
        <v>0.124928</v>
      </c>
      <c r="G16" s="80" t="n">
        <v>2337</v>
      </c>
      <c r="H16" s="81" t="n">
        <v>-0.521671459040267</v>
      </c>
      <c r="I16" s="82" t="n">
        <v>0.01342982402598185</v>
      </c>
      <c r="J16" s="81" t="n">
        <v>-0.15008931276797</v>
      </c>
      <c r="K16" s="81" t="n">
        <v>0.9419331649696709</v>
      </c>
      <c r="L16" s="78" t="n">
        <v>3.659999999999968</v>
      </c>
      <c r="M16" s="83">
        <f>opt_Delta(776.34,12.96,"2026-09-18","Put",780,0.04,0.020587)</f>
        <v/>
      </c>
    </row>
    <row r="17">
      <c r="A17" s="70" t="inlineStr">
        <is>
          <t>Call</t>
        </is>
      </c>
      <c r="B17" s="71" t="n">
        <v>795</v>
      </c>
      <c r="C17" s="71" t="n">
        <v>4.34</v>
      </c>
      <c r="D17" s="71" t="n">
        <v>4.38</v>
      </c>
      <c r="E17" s="71" t="n">
        <v>4.36</v>
      </c>
      <c r="F17" s="72" t="n">
        <v>0.113844</v>
      </c>
      <c r="G17" s="73" t="n">
        <v>14386</v>
      </c>
      <c r="H17" s="74" t="n">
        <v>0.2690378846179606</v>
      </c>
      <c r="I17" s="75" t="n">
        <v>0.01222405735271134</v>
      </c>
      <c r="J17" s="74" t="n">
        <v>-0.1414336536025947</v>
      </c>
      <c r="K17" s="74" t="n">
        <v>0.7812958267726637</v>
      </c>
      <c r="L17" s="71" t="n">
        <v>0</v>
      </c>
      <c r="M17" s="76">
        <f>opt_Delta(776.34,4.36,"2026-09-18","Call",795,0.04,0.020587)</f>
        <v/>
      </c>
    </row>
    <row r="18">
      <c r="A18" s="70" t="inlineStr">
        <is>
          <t>Put</t>
        </is>
      </c>
      <c r="B18" s="71" t="n">
        <v>795</v>
      </c>
      <c r="C18" s="71" t="n">
        <v>20.66</v>
      </c>
      <c r="D18" s="71" t="n">
        <v>23.3</v>
      </c>
      <c r="E18" s="71" t="n">
        <v>21.98</v>
      </c>
      <c r="F18" s="72" t="n">
        <v>0.11929</v>
      </c>
      <c r="G18" s="73" t="n">
        <v>524</v>
      </c>
      <c r="H18" s="74" t="n">
        <v>-0.7191770898017538</v>
      </c>
      <c r="I18" s="75" t="n">
        <v>0.0118752371445027</v>
      </c>
      <c r="J18" s="74" t="n">
        <v>-0.1074143201698167</v>
      </c>
      <c r="K18" s="74" t="n">
        <v>0.79530975385023</v>
      </c>
      <c r="L18" s="71" t="n">
        <v>18.65999999999997</v>
      </c>
      <c r="M18" s="76">
        <f>opt_Delta(776.34,21.98,"2026-09-18","Put",795,0.04,0.020587)</f>
        <v/>
      </c>
    </row>
    <row r="19">
      <c r="A19" s="77" t="inlineStr">
        <is>
          <t>Call</t>
        </is>
      </c>
      <c r="B19" s="78" t="n">
        <v>805</v>
      </c>
      <c r="C19" s="78" t="n">
        <v>2.09</v>
      </c>
      <c r="D19" s="78" t="n">
        <v>2.11</v>
      </c>
      <c r="E19" s="78" t="n">
        <v>2.1</v>
      </c>
      <c r="F19" s="79" t="n">
        <v>0.110034</v>
      </c>
      <c r="G19" s="80" t="n">
        <v>5068</v>
      </c>
      <c r="H19" s="81" t="n">
        <v>0.1562289664693432</v>
      </c>
      <c r="I19" s="82" t="n">
        <v>0.009181375348460603</v>
      </c>
      <c r="J19" s="81" t="n">
        <v>-0.09799951111391046</v>
      </c>
      <c r="K19" s="81" t="n">
        <v>0.5671848505196647</v>
      </c>
      <c r="L19" s="78" t="n">
        <v>0</v>
      </c>
      <c r="M19" s="83">
        <f>opt_Delta(776.34,2.1,"2026-09-18","Call",805,0.04,0.020587)</f>
        <v/>
      </c>
    </row>
    <row r="20">
      <c r="A20" s="77" t="inlineStr">
        <is>
          <t>Put</t>
        </is>
      </c>
      <c r="B20" s="78" t="n">
        <v>805</v>
      </c>
      <c r="C20" s="78" t="n">
        <v>28.5</v>
      </c>
      <c r="D20" s="78" t="n">
        <v>31.21</v>
      </c>
      <c r="E20" s="78" t="n">
        <v>29.855</v>
      </c>
      <c r="F20" s="79" t="n">
        <v>0.120177</v>
      </c>
      <c r="G20" s="80" t="n">
        <v>303</v>
      </c>
      <c r="H20" s="81" t="n">
        <v>-0.8198270169813655</v>
      </c>
      <c r="I20" s="82" t="n">
        <v>0.009152319326074659</v>
      </c>
      <c r="J20" s="81" t="n">
        <v>-0.07200973319766368</v>
      </c>
      <c r="K20" s="81" t="n">
        <v>0.6175078769654287</v>
      </c>
      <c r="L20" s="78" t="n">
        <v>28.65999999999997</v>
      </c>
      <c r="M20" s="83">
        <f>opt_Delta(776.34,29.855,"2026-09-18","Put",805,0.04,0.020587)</f>
        <v/>
      </c>
    </row>
    <row r="21">
      <c r="A21" s="70" t="inlineStr">
        <is>
          <t>Call</t>
        </is>
      </c>
      <c r="B21" s="71" t="n">
        <v>820</v>
      </c>
      <c r="C21" s="71" t="n">
        <v>0.62</v>
      </c>
      <c r="D21" s="71" t="n">
        <v>0.63</v>
      </c>
      <c r="E21" s="71" t="n">
        <v>0.625</v>
      </c>
      <c r="F21" s="72" t="n">
        <v>0.108842</v>
      </c>
      <c r="G21" s="73" t="n">
        <v>33603</v>
      </c>
      <c r="H21" s="74" t="n">
        <v>0.05740210918311864</v>
      </c>
      <c r="I21" s="75" t="n">
        <v>0.004459508614368625</v>
      </c>
      <c r="J21" s="74" t="n">
        <v>-0.04591921088542579</v>
      </c>
      <c r="K21" s="74" t="n">
        <v>0.2725043878921851</v>
      </c>
      <c r="L21" s="71" t="n">
        <v>0</v>
      </c>
      <c r="M21" s="76">
        <f>opt_Delta(776.34,0.625,"2026-09-18","Call",820,0.04,0.020587)</f>
        <v/>
      </c>
    </row>
    <row r="22">
      <c r="A22" s="70" t="inlineStr">
        <is>
          <t>Put</t>
        </is>
      </c>
      <c r="B22" s="71" t="n">
        <v>820</v>
      </c>
      <c r="C22" s="71" t="n">
        <v>42.74</v>
      </c>
      <c r="D22" s="71" t="n">
        <v>45.42</v>
      </c>
      <c r="E22" s="71" t="n">
        <v>44.08</v>
      </c>
      <c r="F22" s="72" t="n">
        <v>0.144765</v>
      </c>
      <c r="G22" s="73" t="n">
        <v>0</v>
      </c>
      <c r="H22" s="74" t="n">
        <v>-0.8783807035147752</v>
      </c>
      <c r="I22" s="75" t="n">
        <v>0.005818433408925933</v>
      </c>
      <c r="J22" s="74" t="n">
        <v>-0.05957369295086469</v>
      </c>
      <c r="K22" s="74" t="n">
        <v>0.4728894465683864</v>
      </c>
      <c r="L22" s="71" t="n">
        <v>43.65999999999997</v>
      </c>
      <c r="M22" s="76">
        <f>opt_Delta(776.34,44.08,"2026-09-18","Put",820,0.04,0.020587)</f>
        <v/>
      </c>
    </row>
    <row r="24">
      <c r="A24" s="12" t="inlineStr">
        <is>
          <t xml:space="preserve">  Greeks use the eight argument opt_ form: spot, market option price, expiry, type, strike, rate, dividend yield, then optional sigma.</t>
        </is>
      </c>
    </row>
    <row r="25">
      <c r="A25" s="12" t="inlineStr">
        <is>
          <t xml:space="preserve">  Leave sigma out and MarketXLS solves implied volatility from the market price you passed in.</t>
        </is>
      </c>
    </row>
    <row r="26">
      <c r="A26" s="12" t="inlineStr">
        <is>
          <t xml:space="preserve">  The dividend yield argument here is 2.06%, the carry implied by put call parity, not the headline dividend yield.</t>
        </is>
      </c>
    </row>
    <row r="27">
      <c r="A27" s="12" t="inlineStr">
        <is>
          <t xml:space="preserve">  Theta is quoted per calendar day and vega per one point of implied volatility.</t>
        </is>
      </c>
    </row>
    <row r="29">
      <c r="A29" s="9" t="inlineStr">
        <is>
          <t>MarketXLS Functions Used in This Sheet</t>
        </is>
      </c>
    </row>
    <row r="30">
      <c r="A30" s="11">
        <f>OptionSymbol("SPY",DATE(2026,9,18),"C",805)</f>
        <v/>
      </c>
      <c r="B30" s="12" t="inlineStr">
        <is>
          <t>Builds the contract symbol</t>
        </is>
      </c>
    </row>
    <row r="31">
      <c r="A31" s="11">
        <f>Bid(sym) / =Ask(sym)</f>
        <v/>
      </c>
      <c r="B31" s="12" t="inlineStr">
        <is>
          <t>Two sided market, mid is the average of the pair</t>
        </is>
      </c>
    </row>
    <row r="32">
      <c r="A32" s="11">
        <f>QM_OpenInterest(OptionSymbol("SPY",DATE(2026,9,18),"C",805))</f>
        <v/>
      </c>
      <c r="B32" s="12" t="inlineStr">
        <is>
          <t>Open interest on the contract</t>
        </is>
      </c>
    </row>
    <row r="33">
      <c r="A33" s="11">
        <f>opt_Delta(spot,px,"2026-09-18","Call",805,0.04,0.0206)</f>
        <v/>
      </c>
      <c r="B33" s="12" t="inlineStr">
        <is>
          <t>Delta, eight argument form</t>
        </is>
      </c>
    </row>
    <row r="34">
      <c r="A34" s="11">
        <f>opt_Gamma(...) / =opt_Theta(...) / =opt_Vega(...)</f>
        <v/>
      </c>
      <c r="B34" s="12" t="inlineStr">
        <is>
          <t>Remaining Greeks, same argument order</t>
        </is>
      </c>
    </row>
    <row r="35">
      <c r="A35" s="11">
        <f>opt_ImpliedVolatility(spot,px,expiry,type,strike,r,q)</f>
        <v/>
      </c>
      <c r="B35" s="12" t="inlineStr">
        <is>
          <t>Solves IV from the market price</t>
        </is>
      </c>
    </row>
    <row r="36">
      <c r="A36" s="11">
        <f>OPT_IntrinsicValue(OptionSymbol("SPY",DATE(2026,9,18),"C",805),776.34)</f>
        <v/>
      </c>
      <c r="B36" s="12" t="inlineStr">
        <is>
          <t>Intrinsic value at the current spot</t>
        </is>
      </c>
    </row>
    <row r="37">
      <c r="A37" s="11">
        <f>StockVolatilityThirtyDays("SPY")</f>
        <v/>
      </c>
      <c r="B37" s="12" t="inlineStr">
        <is>
          <t>Realised volatility for an IV comparison</t>
        </is>
      </c>
    </row>
    <row r="38">
      <c r="A38" s="11">
        <f>ImpliedVolatilityRank1y("SPY")</f>
        <v/>
      </c>
      <c r="B38" s="12" t="inlineStr">
        <is>
          <t>Where current IV sits in its one year range</t>
        </is>
      </c>
    </row>
    <row r="39">
      <c r="A39" s="13" t="inlineStr">
        <is>
          <t>Powered by MarketXLS   |   https://marketxls.com   |   Book a demo: https://marketxls.com/book-demo</t>
        </is>
      </c>
    </row>
  </sheetData>
  <mergeCells count="17">
    <mergeCell ref="B38:M38"/>
    <mergeCell ref="B34:M34"/>
    <mergeCell ref="B33:M33"/>
    <mergeCell ref="A1:M1"/>
    <mergeCell ref="A27:M27"/>
    <mergeCell ref="B37:M37"/>
    <mergeCell ref="B31:M31"/>
    <mergeCell ref="B36:M36"/>
    <mergeCell ref="A26:M26"/>
    <mergeCell ref="B32:M32"/>
    <mergeCell ref="B30:M30"/>
    <mergeCell ref="A39:M39"/>
    <mergeCell ref="A29:M29"/>
    <mergeCell ref="A25:M25"/>
    <mergeCell ref="B35:M35"/>
    <mergeCell ref="A24:M24"/>
    <mergeCell ref="A2:M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G24"/>
  <sheetViews>
    <sheetView showGridLines="0" workbookViewId="0">
      <selection activeCell="A1" sqref="A1"/>
    </sheetView>
  </sheetViews>
  <sheetFormatPr baseColWidth="8" defaultRowHeight="15"/>
  <cols>
    <col width="22" customWidth="1" min="1" max="1"/>
    <col width="16" customWidth="1" min="2" max="2"/>
    <col width="16" customWidth="1" min="3" max="3"/>
    <col width="16" customWidth="1" min="4" max="4"/>
    <col width="16" customWidth="1" min="5" max="5"/>
    <col width="18" customWidth="1" min="6" max="6"/>
    <col width="48" customWidth="1" min="7" max="7"/>
  </cols>
  <sheetData>
    <row r="1" ht="30" customHeight="1">
      <c r="A1" s="1" t="inlineStr">
        <is>
          <t>Breakeven Solver</t>
        </is>
      </c>
    </row>
    <row r="2" ht="18" customHeight="1">
      <c r="A2" s="2" t="inlineStr">
        <is>
          <t>Why the strike plus premium shortcut fails, and what to do instead</t>
        </is>
      </c>
    </row>
    <row r="4">
      <c r="A4" s="3" t="inlineStr">
        <is>
          <t>A payoff curve is piecewise linear. It bends only at a strike, so between two adjacent strikes it is a straight line. That means every breakeven sits either exactly on a strike or strictly between two neighbouring strikes. Scan the segments one at a time, check whether the profit and loss changes sign across the segment, and solve the line where it does. The scan below runs across the iron condor.</t>
        </is>
      </c>
    </row>
    <row r="5"/>
    <row r="7" ht="30" customHeight="1">
      <c r="A7" s="4" t="inlineStr">
        <is>
          <t>Segment</t>
        </is>
      </c>
      <c r="B7" s="4" t="inlineStr">
        <is>
          <t>Left price</t>
        </is>
      </c>
      <c r="C7" s="4" t="inlineStr">
        <is>
          <t>Right price</t>
        </is>
      </c>
      <c r="D7" s="4" t="inlineStr">
        <is>
          <t>P&amp;L at left</t>
        </is>
      </c>
      <c r="E7" s="4" t="inlineStr">
        <is>
          <t>P&amp;L at right</t>
        </is>
      </c>
      <c r="F7" s="4" t="inlineStr">
        <is>
          <t>Sign change</t>
        </is>
      </c>
      <c r="G7" s="4" t="inlineStr">
        <is>
          <t>Breakeven in this segment</t>
        </is>
      </c>
    </row>
    <row r="8">
      <c r="A8" s="84" t="inlineStr">
        <is>
          <t>Segment 1</t>
        </is>
      </c>
      <c r="B8" s="85" t="n">
        <v>365</v>
      </c>
      <c r="C8" s="85" t="n">
        <v>730</v>
      </c>
      <c r="D8" s="86" t="n">
        <v>-1219</v>
      </c>
      <c r="E8" s="86" t="n">
        <v>-1219</v>
      </c>
      <c r="F8" s="84" t="inlineStr">
        <is>
          <t>No</t>
        </is>
      </c>
      <c r="G8" s="84" t="inlineStr">
        <is>
          <t>none</t>
        </is>
      </c>
    </row>
    <row r="9">
      <c r="A9" s="87" t="inlineStr">
        <is>
          <t>Segment 2</t>
        </is>
      </c>
      <c r="B9" s="88" t="n">
        <v>730</v>
      </c>
      <c r="C9" s="88" t="n">
        <v>745</v>
      </c>
      <c r="D9" s="89" t="n">
        <v>-1219</v>
      </c>
      <c r="E9" s="89" t="n">
        <v>281</v>
      </c>
      <c r="F9" s="90" t="inlineStr">
        <is>
          <t>Yes</t>
        </is>
      </c>
      <c r="G9" s="91" t="n">
        <v>742.1900000000001</v>
      </c>
    </row>
    <row r="10">
      <c r="A10" s="84" t="inlineStr">
        <is>
          <t>Segment 3</t>
        </is>
      </c>
      <c r="B10" s="85" t="n">
        <v>745</v>
      </c>
      <c r="C10" s="85" t="n">
        <v>805</v>
      </c>
      <c r="D10" s="86" t="n">
        <v>281</v>
      </c>
      <c r="E10" s="86" t="n">
        <v>281</v>
      </c>
      <c r="F10" s="84" t="inlineStr">
        <is>
          <t>No</t>
        </is>
      </c>
      <c r="G10" s="84" t="inlineStr">
        <is>
          <t>none</t>
        </is>
      </c>
    </row>
    <row r="11">
      <c r="A11" s="87" t="inlineStr">
        <is>
          <t>Segment 4</t>
        </is>
      </c>
      <c r="B11" s="88" t="n">
        <v>805</v>
      </c>
      <c r="C11" s="88" t="n">
        <v>820</v>
      </c>
      <c r="D11" s="89" t="n">
        <v>281</v>
      </c>
      <c r="E11" s="89" t="n">
        <v>-1219</v>
      </c>
      <c r="F11" s="90" t="inlineStr">
        <is>
          <t>Yes</t>
        </is>
      </c>
      <c r="G11" s="91" t="n">
        <v>807.8099999999999</v>
      </c>
    </row>
    <row r="12">
      <c r="A12" s="84" t="inlineStr">
        <is>
          <t>Segment 5</t>
        </is>
      </c>
      <c r="B12" s="85" t="n">
        <v>820</v>
      </c>
      <c r="C12" s="85" t="n">
        <v>1230</v>
      </c>
      <c r="D12" s="86" t="n">
        <v>-1219</v>
      </c>
      <c r="E12" s="86" t="n">
        <v>-1219</v>
      </c>
      <c r="F12" s="84" t="inlineStr">
        <is>
          <t>No</t>
        </is>
      </c>
      <c r="G12" s="84" t="inlineStr">
        <is>
          <t>none</t>
        </is>
      </c>
    </row>
    <row r="14">
      <c r="A14" s="12" t="inlineStr">
        <is>
          <t xml:space="preserve">  The scan finds 2 breakevens: $742.19 and $807.81.</t>
        </is>
      </c>
    </row>
    <row r="15">
      <c r="A15" s="12" t="inlineStr">
        <is>
          <t xml:space="preserve">  A single naked leg has one breakeven, so the strike plus premium shortcut works there.</t>
        </is>
      </c>
    </row>
    <row r="16">
      <c r="A16" s="12" t="inlineStr">
        <is>
          <t xml:space="preserve">  Spreads, condors, butterflies and straddles have two. Some ratio structures have three.</t>
        </is>
      </c>
    </row>
    <row r="17">
      <c r="A17" s="12" t="inlineStr">
        <is>
          <t xml:space="preserve">  The segment scan does not care how many there are, which is the point of doing it this way.</t>
        </is>
      </c>
    </row>
    <row r="19">
      <c r="A19" s="9" t="inlineStr">
        <is>
          <t>MarketXLS Functions Used in This Sheet</t>
        </is>
      </c>
    </row>
    <row r="20">
      <c r="A20" s="11">
        <f>Strikes("SPY","2026-09-18")</f>
        <v/>
      </c>
      <c r="B20" s="12" t="inlineStr">
        <is>
          <t>Lists the strikes that define the segment boundaries</t>
        </is>
      </c>
    </row>
    <row r="21">
      <c r="A21" s="11">
        <f>ExpirationNext("SPY")</f>
        <v/>
      </c>
      <c r="B21" s="12" t="inlineStr">
        <is>
          <t>Next expiry date if you want to repoint the scan</t>
        </is>
      </c>
    </row>
    <row r="22">
      <c r="A22" s="11">
        <f>Bid(sym) / =Ask(sym)</f>
        <v/>
      </c>
      <c r="B22" s="12" t="inlineStr">
        <is>
          <t>Premiums that set where the payoff line crosses zero</t>
        </is>
      </c>
    </row>
    <row r="23">
      <c r="A23" s="11">
        <f>earnings_date("SPY")</f>
        <v/>
      </c>
      <c r="B23" s="12" t="inlineStr">
        <is>
          <t>Check whether an earnings date falls before expiry</t>
        </is>
      </c>
    </row>
    <row r="24">
      <c r="A24" s="13" t="inlineStr">
        <is>
          <t>Powered by MarketXLS   |   https://marketxls.com   |   Book a demo: https://marketxls.com/book-demo</t>
        </is>
      </c>
    </row>
  </sheetData>
  <mergeCells count="13">
    <mergeCell ref="A14:G14"/>
    <mergeCell ref="B20:G20"/>
    <mergeCell ref="A1:G1"/>
    <mergeCell ref="A17:G17"/>
    <mergeCell ref="B22:G22"/>
    <mergeCell ref="B23:G23"/>
    <mergeCell ref="A4:G5"/>
    <mergeCell ref="A2:G2"/>
    <mergeCell ref="A16:G16"/>
    <mergeCell ref="A15:G15"/>
    <mergeCell ref="A24:G24"/>
    <mergeCell ref="B21:G21"/>
    <mergeCell ref="A19:G19"/>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2026-08-15T18:03:51Z</dcterms:created>
  <dcterms:modified xsi:type="dcterms:W3CDTF">2026-08-15T18:03:51Z</dcterms:modified>
</cp:coreProperties>
</file>