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Calculator" sheetId="2" state="visible" r:id="rId2"/>
    <sheet name="Payoff Table" sheetId="3" state="visible" r:id="rId3"/>
    <sheet name="Wing Selector" sheetId="4" state="visible" r:id="rId4"/>
    <sheet name="Scenario Analysis" sheetId="5" state="visible" r:id="rId5"/>
    <sheet name="Greeks And Risk" sheetId="6" state="visible" r:id="rId6"/>
    <sheet name="Formula Reference" sheetId="7" state="visible" r:id="rId7"/>
  </sheets>
  <definedNames/>
  <calcPr calcId="124519" fullCalcOnLoad="1"/>
</workbook>
</file>

<file path=xl/styles.xml><?xml version="1.0" encoding="utf-8"?>
<styleSheet xmlns="http://schemas.openxmlformats.org/spreadsheetml/2006/main">
  <numFmts count="9">
    <numFmt numFmtId="164" formatCode="$#,##0.00"/>
    <numFmt numFmtId="165" formatCode="yyyy-mm-dd"/>
    <numFmt numFmtId="166" formatCode="$#,##0.00;[Red]-$#,##0.00"/>
    <numFmt numFmtId="167" formatCode="0.0%"/>
    <numFmt numFmtId="168" formatCode="$#,##0;[Red]-$#,##0"/>
    <numFmt numFmtId="169" formatCode="$#,##0"/>
    <numFmt numFmtId="170" formatCode="0.0000"/>
    <numFmt numFmtId="171" formatCode="0.00000"/>
    <numFmt numFmtId="172" formatCode="0.0x"/>
  </numFmts>
  <fonts count="18">
    <font>
      <name val="Calibri"/>
      <family val="2"/>
      <color theme="1"/>
      <sz val="11"/>
      <scheme val="minor"/>
    </font>
    <font>
      <b val="1"/>
      <color rgb="00FFFFFF"/>
      <sz val="16"/>
    </font>
    <font>
      <b val="1"/>
      <color rgb="00FFFFFF"/>
      <sz val="11"/>
    </font>
    <font>
      <sz val="10"/>
    </font>
    <font>
      <b val="1"/>
      <color rgb="00FFFFFF"/>
      <sz val="10"/>
    </font>
    <font>
      <b val="1"/>
      <color rgb="00003366"/>
      <sz val="10"/>
    </font>
    <font>
      <color rgb="00000000"/>
      <sz val="10"/>
    </font>
    <font>
      <b val="1"/>
      <color rgb="000066CC"/>
      <sz val="10"/>
    </font>
    <font>
      <b val="1"/>
      <color rgb="00FFFFFF"/>
      <sz val="9"/>
    </font>
    <font>
      <b val="1"/>
      <sz val="10"/>
    </font>
    <font>
      <b val="1"/>
      <color rgb="00D62828"/>
      <sz val="10"/>
    </font>
    <font>
      <b val="1"/>
      <color rgb="002A9D8F"/>
      <sz val="10"/>
    </font>
    <font>
      <b val="1"/>
      <color rgb="00000000"/>
      <sz val="10"/>
    </font>
    <font>
      <color rgb="006B7280"/>
      <sz val="9"/>
    </font>
    <font>
      <b val="1"/>
      <color rgb="00003366"/>
      <sz val="11"/>
    </font>
    <font>
      <name val="Consolas"/>
      <b val="1"/>
      <color rgb="00003366"/>
      <sz val="9"/>
    </font>
    <font>
      <sz val="9"/>
    </font>
    <font>
      <color rgb="00D62828"/>
      <sz val="10"/>
    </font>
  </fonts>
  <fills count="9">
    <fill>
      <patternFill/>
    </fill>
    <fill>
      <patternFill patternType="gray125"/>
    </fill>
    <fill>
      <patternFill patternType="solid">
        <fgColor rgb="00003366"/>
      </patternFill>
    </fill>
    <fill>
      <patternFill patternType="solid">
        <fgColor rgb="000066CC"/>
      </patternFill>
    </fill>
    <fill>
      <patternFill patternType="solid">
        <fgColor rgb="00FFF3B0"/>
      </patternFill>
    </fill>
    <fill>
      <patternFill patternType="solid">
        <fgColor rgb="00FFFF00"/>
      </patternFill>
    </fill>
    <fill>
      <patternFill patternType="solid">
        <fgColor rgb="00D62828"/>
      </patternFill>
    </fill>
    <fill>
      <patternFill patternType="solid">
        <fgColor rgb="00F4A261"/>
      </patternFill>
    </fill>
    <fill>
      <patternFill patternType="solid">
        <fgColor rgb="002A9D8F"/>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51">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0" borderId="0" applyAlignment="1" pivotButton="0" quotePrefix="0" xfId="0">
      <alignment horizontal="left" vertical="center" wrapText="1"/>
    </xf>
    <xf numFmtId="0" fontId="4" fillId="3" borderId="1" applyAlignment="1" pivotButton="0" quotePrefix="0" xfId="0">
      <alignment horizontal="center" vertical="center" wrapText="1"/>
    </xf>
    <xf numFmtId="0" fontId="5" fillId="0" borderId="1" applyAlignment="1" pivotButton="0" quotePrefix="0" xfId="0">
      <alignment horizontal="left" vertical="center" wrapText="1"/>
    </xf>
    <xf numFmtId="0" fontId="6" fillId="0" borderId="1" applyAlignment="1" pivotButton="0" quotePrefix="0" xfId="0">
      <alignment horizontal="center" vertical="center" wrapText="1"/>
    </xf>
    <xf numFmtId="0" fontId="3" fillId="4" borderId="1" applyAlignment="1" pivotButton="0" quotePrefix="0" xfId="0">
      <alignment horizontal="left" vertical="center" wrapText="1"/>
    </xf>
    <xf numFmtId="0" fontId="7" fillId="0" borderId="0" pivotButton="0" quotePrefix="0" xfId="0"/>
    <xf numFmtId="0" fontId="8" fillId="2" borderId="0" applyAlignment="1" pivotButton="0" quotePrefix="0" xfId="0">
      <alignment horizontal="center" vertical="center" wrapText="1"/>
    </xf>
    <xf numFmtId="0" fontId="9" fillId="5" borderId="2" applyAlignment="1" pivotButton="0" quotePrefix="0" xfId="0">
      <alignment horizontal="center" vertical="center" wrapText="1"/>
    </xf>
    <xf numFmtId="164" fontId="6" fillId="0" borderId="1" applyAlignment="1" pivotButton="0" quotePrefix="0" xfId="0">
      <alignment horizontal="center" vertical="center" wrapText="1"/>
    </xf>
    <xf numFmtId="1"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1" fontId="6" fillId="0" borderId="1" applyAlignment="1" pivotButton="0" quotePrefix="0" xfId="0">
      <alignment horizontal="center" vertical="center" wrapText="1"/>
    </xf>
    <xf numFmtId="10" fontId="9" fillId="5" borderId="2" applyAlignment="1" pivotButton="0" quotePrefix="0" xfId="0">
      <alignment horizontal="center" vertical="center" wrapText="1"/>
    </xf>
    <xf numFmtId="10" fontId="6" fillId="0" borderId="1" applyAlignment="1" pivotButton="0" quotePrefix="0" xfId="0">
      <alignment horizontal="center" vertical="center" wrapText="1"/>
    </xf>
    <xf numFmtId="0" fontId="10" fillId="0" borderId="1" applyAlignment="1" pivotButton="0" quotePrefix="0" xfId="0">
      <alignment horizontal="center" vertical="center" wrapText="1"/>
    </xf>
    <xf numFmtId="164" fontId="9" fillId="5" borderId="2" applyAlignment="1" pivotButton="0" quotePrefix="0" xfId="0">
      <alignment horizontal="center" vertical="center" wrapText="1"/>
    </xf>
    <xf numFmtId="166" fontId="6" fillId="0" borderId="1" applyAlignment="1" pivotButton="0" quotePrefix="0" xfId="0">
      <alignment horizontal="center" vertical="center" wrapText="1"/>
    </xf>
    <xf numFmtId="0" fontId="11" fillId="0" borderId="1" applyAlignment="1" pivotButton="0" quotePrefix="0" xfId="0">
      <alignment horizontal="center" vertical="center" wrapText="1"/>
    </xf>
    <xf numFmtId="164" fontId="12" fillId="4" borderId="1" applyAlignment="1" pivotButton="0" quotePrefix="0" xfId="0">
      <alignment horizontal="center" vertical="center" wrapText="1"/>
    </xf>
    <xf numFmtId="0" fontId="13" fillId="0" borderId="1" applyAlignment="1" pivotButton="0" quotePrefix="0" xfId="0">
      <alignment horizontal="left" vertical="center" wrapText="1"/>
    </xf>
    <xf numFmtId="167" fontId="12" fillId="4" borderId="1" applyAlignment="1" pivotButton="0" quotePrefix="0" xfId="0">
      <alignment horizontal="center" vertical="center" wrapText="1"/>
    </xf>
    <xf numFmtId="0" fontId="14" fillId="0" borderId="0" pivotButton="0" quotePrefix="0" xfId="0"/>
    <xf numFmtId="0" fontId="15" fillId="0" borderId="1" applyAlignment="1" pivotButton="0" quotePrefix="0" xfId="0">
      <alignment horizontal="left" vertical="center" wrapText="1"/>
    </xf>
    <xf numFmtId="0" fontId="16" fillId="0" borderId="1" applyAlignment="1" pivotButton="0" quotePrefix="0" xfId="0">
      <alignment horizontal="left" vertical="center" wrapText="1"/>
    </xf>
    <xf numFmtId="167" fontId="6" fillId="0" borderId="1" applyAlignment="1" pivotButton="0" quotePrefix="0" xfId="0">
      <alignment horizontal="center" vertical="center" wrapText="1"/>
    </xf>
    <xf numFmtId="168" fontId="6" fillId="0" borderId="1" applyAlignment="1" pivotButton="0" quotePrefix="0" xfId="0">
      <alignment horizontal="center" vertical="center" wrapText="1"/>
    </xf>
    <xf numFmtId="168" fontId="4" fillId="6" borderId="1" applyAlignment="1" pivotButton="0" quotePrefix="0" xfId="0">
      <alignment horizontal="center" vertical="center" wrapText="1"/>
    </xf>
    <xf numFmtId="164" fontId="12" fillId="7" borderId="1" applyAlignment="1" pivotButton="0" quotePrefix="0" xfId="0">
      <alignment horizontal="center" vertical="center" wrapText="1"/>
    </xf>
    <xf numFmtId="168" fontId="12" fillId="7" borderId="1" applyAlignment="1" pivotButton="0" quotePrefix="0" xfId="0">
      <alignment horizontal="center" vertical="center" wrapText="1"/>
    </xf>
    <xf numFmtId="168" fontId="4" fillId="8" borderId="1" applyAlignment="1" pivotButton="0" quotePrefix="0" xfId="0">
      <alignment horizontal="center" vertical="center" wrapText="1"/>
    </xf>
    <xf numFmtId="169" fontId="6" fillId="0" borderId="1" applyAlignment="1" pivotButton="0" quotePrefix="0" xfId="0">
      <alignment horizontal="center" vertical="center" wrapText="1"/>
    </xf>
    <xf numFmtId="164" fontId="12" fillId="0" borderId="1" applyAlignment="1" pivotButton="0" quotePrefix="0" xfId="0">
      <alignment horizontal="center" vertical="center" wrapText="1"/>
    </xf>
    <xf numFmtId="167" fontId="17" fillId="0" borderId="1" applyAlignment="1" pivotButton="0" quotePrefix="0" xfId="0">
      <alignment horizontal="center" vertical="center" wrapText="1"/>
    </xf>
    <xf numFmtId="170" fontId="6" fillId="0" borderId="1" applyAlignment="1" pivotButton="0" quotePrefix="0" xfId="0">
      <alignment horizontal="center" vertical="center" wrapText="1"/>
    </xf>
    <xf numFmtId="3" fontId="6" fillId="0" borderId="1" applyAlignment="1" pivotButton="0" quotePrefix="0" xfId="0">
      <alignment horizontal="center" vertical="center" wrapText="1"/>
    </xf>
    <xf numFmtId="9" fontId="6" fillId="0" borderId="1" applyAlignment="1" pivotButton="0" quotePrefix="0" xfId="0">
      <alignment horizontal="center" vertical="center" wrapText="1"/>
    </xf>
    <xf numFmtId="166" fontId="11" fillId="0" borderId="1" applyAlignment="1" pivotButton="0" quotePrefix="0" xfId="0">
      <alignment horizontal="center" vertical="center" wrapText="1"/>
    </xf>
    <xf numFmtId="166" fontId="10" fillId="0" borderId="1" applyAlignment="1" pivotButton="0" quotePrefix="0" xfId="0">
      <alignment horizontal="center" vertical="center" wrapText="1"/>
    </xf>
    <xf numFmtId="171" fontId="6" fillId="0" borderId="1" applyAlignment="1" pivotButton="0" quotePrefix="0" xfId="0">
      <alignment horizontal="center" vertical="center" wrapText="1"/>
    </xf>
    <xf numFmtId="0" fontId="5" fillId="4" borderId="1" applyAlignment="1" pivotButton="0" quotePrefix="0" xfId="0">
      <alignment horizontal="left" vertical="center" wrapText="1"/>
    </xf>
    <xf numFmtId="0" fontId="6" fillId="4" borderId="1" applyAlignment="1" pivotButton="0" quotePrefix="0" xfId="0">
      <alignment horizontal="center" vertical="center" wrapText="1"/>
    </xf>
    <xf numFmtId="170" fontId="12" fillId="4" borderId="1" applyAlignment="1" pivotButton="0" quotePrefix="0" xfId="0">
      <alignment horizontal="center" vertical="center" wrapText="1"/>
    </xf>
    <xf numFmtId="171" fontId="12" fillId="4" borderId="1" applyAlignment="1" pivotButton="0" quotePrefix="0" xfId="0">
      <alignment horizontal="center" vertical="center" wrapText="1"/>
    </xf>
    <xf numFmtId="166" fontId="12" fillId="4" borderId="1" applyAlignment="1" pivotButton="0" quotePrefix="0" xfId="0">
      <alignment horizontal="center" vertical="center" wrapText="1"/>
    </xf>
    <xf numFmtId="170" fontId="12" fillId="0" borderId="1" applyAlignment="1" pivotButton="0" quotePrefix="0" xfId="0">
      <alignment horizontal="center" vertical="center" wrapText="1"/>
    </xf>
    <xf numFmtId="166" fontId="12" fillId="0" borderId="1" applyAlignment="1" pivotButton="0" quotePrefix="0" xfId="0">
      <alignment horizontal="center" vertical="center" wrapText="1"/>
    </xf>
    <xf numFmtId="167" fontId="10" fillId="0" borderId="1" applyAlignment="1" pivotButton="0" quotePrefix="0" xfId="0">
      <alignment horizontal="center" vertical="center" wrapText="1"/>
    </xf>
    <xf numFmtId="172" fontId="6"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omments/comment1.xml><?xml version="1.0" encoding="utf-8"?>
<comments xmlns="http://schemas.openxmlformats.org/spreadsheetml/2006/main">
  <authors>
    <author>MarketXLS</author>
  </authors>
  <commentList>
    <comment ref="B4" authorId="0" shapeId="0">
      <text>
        <t>Any optionable symbol.</t>
      </text>
    </comment>
    <comment ref="E4" authorId="0" shapeId="0">
      <text>
        <t>MarketXLS: QM_Last(symbol)</t>
      </text>
    </comment>
    <comment ref="G4" authorId="0" shapeId="0">
      <text>
        <t>Each contract covers 100 shares.</t>
      </text>
    </comment>
    <comment ref="B6" authorId="0" shapeId="0">
      <text>
        <t>Short bill, not the ten year note. A condor is collateralized for weeks.</t>
      </text>
    </comment>
    <comment ref="E6" authorId="0" shapeId="0">
      <text>
        <t>MarketXLS: DividendYield(Symbol)</t>
      </text>
    </comment>
    <comment ref="G6" authorId="0" shapeId="0">
      <text>
        <t>MarketXLS: ImpliedVolatility30d(Symbol). Returns a decimal.</t>
      </text>
    </comment>
    <comment ref="D10" authorId="0" shapeId="0">
      <text>
        <t>MarketXLS: QM_Ask(symbol). Takers pay the ask and receive the bid.</t>
      </text>
    </comment>
    <comment ref="E10" authorId="0" shapeId="0">
      <text>
        <t>MarketXLS: OptionSymbol(Symbol, ExpirationDate, CallOrPut, Strike)</t>
      </text>
    </comment>
    <comment ref="D11" authorId="0" shapeId="0">
      <text>
        <t>MarketXLS: QM_Bid(symbol). Takers pay the ask and receive the bid.</t>
      </text>
    </comment>
    <comment ref="E11" authorId="0" shapeId="0">
      <text>
        <t>MarketXLS: OptionSymbol(Symbol, ExpirationDate, CallOrPut, Strike)</t>
      </text>
    </comment>
    <comment ref="D12" authorId="0" shapeId="0">
      <text>
        <t>MarketXLS: QM_Bid(symbol). Takers pay the ask and receive the bid.</t>
      </text>
    </comment>
    <comment ref="E12" authorId="0" shapeId="0">
      <text>
        <t>MarketXLS: OptionSymbol(Symbol, ExpirationDate, CallOrPut, Strike)</t>
      </text>
    </comment>
    <comment ref="D13" authorId="0" shapeId="0">
      <text>
        <t>MarketXLS: QM_Ask(symbol). Takers pay the ask and receive the bid.</t>
      </text>
    </comment>
    <comment ref="E13" authorId="0" shapeId="0">
      <text>
        <t>MarketXLS: OptionSymbol(Symbol, ExpirationDate, CallOrPut, Strike)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E32"/>
  <sheetViews>
    <sheetView showGridLines="0" workbookViewId="0">
      <selection activeCell="A1" sqref="A1"/>
    </sheetView>
  </sheetViews>
  <sheetFormatPr baseColWidth="8" defaultRowHeight="15"/>
  <cols>
    <col width="34" customWidth="1" min="1" max="1"/>
    <col width="30" customWidth="1" min="2" max="2"/>
    <col width="30" customWidth="1" min="3" max="3"/>
    <col width="28" customWidth="1" min="4" max="4"/>
    <col width="26" customWidth="1" min="5" max="5"/>
  </cols>
  <sheetData>
    <row r="1" ht="24" customHeight="1">
      <c r="A1" s="1" t="inlineStr">
        <is>
          <t>IRON CONDOR CALCULATOR</t>
        </is>
      </c>
    </row>
    <row r="2" ht="18" customHeight="1">
      <c r="A2" s="2" t="inlineStr">
        <is>
          <t>LIVE TEMPLATE - formulas refresh with MarketXLS</t>
        </is>
      </c>
    </row>
    <row r="4">
      <c r="A4" s="3" t="inlineStr">
        <is>
          <t>An iron condor sells a put spread below the market and a call spread above it, on the same underlying and the same expiry. You collect a net credit up front. You keep all of it if the underlying finishes between the two short strikes. You lose the width of the tested wing minus that credit if it finishes past a long strike. This workbook prices all four legs together, because the only numbers that matter are the net ones.</t>
        </is>
      </c>
    </row>
    <row r="5"/>
    <row r="6"/>
    <row r="8" ht="18" customHeight="1">
      <c r="A8" s="2" t="inlineStr">
        <is>
          <t>WHAT EACH SHEET DOES</t>
        </is>
      </c>
    </row>
    <row r="9">
      <c r="A9" s="4" t="inlineStr">
        <is>
          <t>Sheet</t>
        </is>
      </c>
      <c r="B9" s="4" t="inlineStr">
        <is>
          <t>What it answers</t>
        </is>
      </c>
      <c r="C9" s="4" t="inlineStr">
        <is>
          <t>Start here if</t>
        </is>
      </c>
    </row>
    <row r="10">
      <c r="A10" s="5" t="inlineStr">
        <is>
          <t>Calculator</t>
        </is>
      </c>
      <c r="B10" s="6" t="inlineStr">
        <is>
          <t>Net credit, both breakevens, max loss, return on risk and the odds</t>
        </is>
      </c>
      <c r="C10" s="6" t="inlineStr">
        <is>
          <t>You already know the four strikes you want</t>
        </is>
      </c>
    </row>
    <row r="11">
      <c r="A11" s="5" t="inlineStr">
        <is>
          <t>Payoff Table</t>
        </is>
      </c>
      <c r="B11" s="6" t="inlineStr">
        <is>
          <t>Profit and loss across a ladder of prices at expiry</t>
        </is>
      </c>
      <c r="C11" s="6" t="inlineStr">
        <is>
          <t>You want to see where the position turns</t>
        </is>
      </c>
    </row>
    <row r="12">
      <c r="A12" s="5" t="inlineStr">
        <is>
          <t>Wing Selector</t>
        </is>
      </c>
      <c r="B12" s="6" t="inlineStr">
        <is>
          <t>Four strike configurations priced side by side</t>
        </is>
      </c>
      <c r="C12" s="6" t="inlineStr">
        <is>
          <t>You are still choosing how far out to sell</t>
        </is>
      </c>
    </row>
    <row r="13">
      <c r="A13" s="5" t="inlineStr">
        <is>
          <t>Scenario Analysis</t>
        </is>
      </c>
      <c r="B13" s="6" t="inlineStr">
        <is>
          <t>Outcomes across price moves, time decay and volatility shifts</t>
        </is>
      </c>
      <c r="C13" s="6" t="inlineStr">
        <is>
          <t>You want to know what hurts before it happens</t>
        </is>
      </c>
    </row>
    <row r="14">
      <c r="A14" s="5" t="inlineStr">
        <is>
          <t>Greeks And Risk</t>
        </is>
      </c>
      <c r="B14" s="6" t="inlineStr">
        <is>
          <t>Position delta, gamma, theta, vega and touch probability</t>
        </is>
      </c>
      <c r="C14" s="6" t="inlineStr">
        <is>
          <t>You want the risk profile, not just the payoff</t>
        </is>
      </c>
    </row>
    <row r="15">
      <c r="A15" s="5" t="inlineStr">
        <is>
          <t>Formula Reference</t>
        </is>
      </c>
      <c r="B15" s="6" t="inlineStr">
        <is>
          <t>Every MarketXLS function used in this workbook</t>
        </is>
      </c>
      <c r="C15" s="6" t="inlineStr">
        <is>
          <t>You are rebuilding this on your own tickers</t>
        </is>
      </c>
    </row>
    <row r="17" ht="18" customHeight="1">
      <c r="A17" s="2" t="inlineStr">
        <is>
          <t>HOW TO USE IT</t>
        </is>
      </c>
    </row>
    <row r="18">
      <c r="A18" s="3" t="inlineStr">
        <is>
          <t>1. Open the Calculator sheet. Every yellow cell is an input. Nothing else should be typed over.</t>
        </is>
      </c>
    </row>
    <row r="19">
      <c r="A19" s="3" t="inlineStr">
        <is>
          <t>2. Set the ticker, the expiry date and the four strikes. Keep the short strikes inside the long strikes.</t>
        </is>
      </c>
    </row>
    <row r="20">
      <c r="A20" s="3" t="inlineStr">
        <is>
          <t>3. The four leg prices pull live from MarketXLS. Override any cell if your broker quotes differently.</t>
        </is>
      </c>
    </row>
    <row r="21">
      <c r="A21" s="3" t="inlineStr">
        <is>
          <t>4. Read the net credit first. It sets the max profit, both breakevens and the max loss at once.</t>
        </is>
      </c>
    </row>
    <row r="22">
      <c r="A22" s="3" t="inlineStr">
        <is>
          <t>5. Compare the return on risk against the probability of profit. Neither number means anything alone.</t>
        </is>
      </c>
    </row>
    <row r="23">
      <c r="A23" s="3" t="inlineStr">
        <is>
          <t>6. Check the Wing Selector before you commit. Moving one strike changes the whole trade.</t>
        </is>
      </c>
    </row>
    <row r="25">
      <c r="A25" s="7" t="inlineStr">
        <is>
          <t>Read this before you trade it. Every probability in this workbook comes from the option market's own implied volatility, under a lognormal model. That is a pricing convention, not a forecast. Real returns have fatter tails than the model, which means the true chance of testing a wing is higher than the number shown, not lower. This workbook is an educational calculator. It is not investment advice and it does not suggest any position.</t>
        </is>
      </c>
    </row>
    <row r="26"/>
    <row r="27"/>
    <row r="29">
      <c r="A29" s="8" t="inlineStr">
        <is>
          <t>MarketXLS: https://marketxls.com</t>
        </is>
      </c>
    </row>
    <row r="30">
      <c r="A30" s="8" t="inlineStr">
        <is>
          <t>Book a demo: https://marketxls.com/book-demo</t>
        </is>
      </c>
    </row>
    <row r="32">
      <c r="A32" s="9" t="inlineStr">
        <is>
          <t>Powered by MarketXLS   |   https://marketxls.com   |   Book a demo: https://marketxls.com/book-demo</t>
        </is>
      </c>
    </row>
  </sheetData>
  <mergeCells count="13">
    <mergeCell ref="A21:E21"/>
    <mergeCell ref="A25:E27"/>
    <mergeCell ref="A20:E20"/>
    <mergeCell ref="A2:E2"/>
    <mergeCell ref="A19:E19"/>
    <mergeCell ref="A1:E1"/>
    <mergeCell ref="A23:E23"/>
    <mergeCell ref="A32:E32"/>
    <mergeCell ref="A8:E8"/>
    <mergeCell ref="A22:E22"/>
    <mergeCell ref="A17:E17"/>
    <mergeCell ref="A18:E18"/>
    <mergeCell ref="A4: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47"/>
  <sheetViews>
    <sheetView showGridLines="0" workbookViewId="0">
      <selection activeCell="A1" sqref="A1"/>
    </sheetView>
  </sheetViews>
  <sheetFormatPr baseColWidth="8" defaultRowHeight="15"/>
  <cols>
    <col width="26" customWidth="1" min="1" max="1"/>
    <col width="16" customWidth="1" min="2" max="2"/>
    <col width="16" customWidth="1" min="3" max="3"/>
    <col width="16" customWidth="1" min="4" max="4"/>
    <col width="16" customWidth="1" min="5" max="5"/>
    <col width="16" customWidth="1" min="6" max="6"/>
    <col width="30" customWidth="1" min="7" max="7"/>
  </cols>
  <sheetData>
    <row r="1" ht="24" customHeight="1">
      <c r="A1" s="1" t="inlineStr">
        <is>
          <t>IRON CONDOR CALCULATOR</t>
        </is>
      </c>
    </row>
    <row r="2" ht="18" customHeight="1">
      <c r="A2" s="2" t="inlineStr">
        <is>
          <t>Enter a ticker in B4 and every leg reprices</t>
        </is>
      </c>
    </row>
    <row r="4">
      <c r="A4" s="5" t="inlineStr">
        <is>
          <t>Underlying ticker</t>
        </is>
      </c>
      <c r="B4" s="10" t="inlineStr">
        <is>
          <t>SPY</t>
        </is>
      </c>
      <c r="D4" s="5" t="inlineStr">
        <is>
          <t>Spot price</t>
        </is>
      </c>
      <c r="E4" s="11">
        <f>QM_Last(B4)</f>
        <v/>
      </c>
      <c r="F4" s="5" t="inlineStr">
        <is>
          <t>Contracts</t>
        </is>
      </c>
      <c r="G4" s="12" t="n">
        <v>1</v>
      </c>
    </row>
    <row r="5">
      <c r="A5" s="5" t="inlineStr">
        <is>
          <t>Expiry date</t>
        </is>
      </c>
      <c r="B5" s="13" t="n">
        <v>46283</v>
      </c>
      <c r="D5" s="5" t="inlineStr">
        <is>
          <t>Days to expiry</t>
        </is>
      </c>
      <c r="E5" s="14">
        <f>B5-TODAY()</f>
        <v/>
      </c>
      <c r="F5" s="5" t="inlineStr">
        <is>
          <t>Valuation date</t>
        </is>
      </c>
      <c r="G5" s="13" t="n">
        <v>46249</v>
      </c>
    </row>
    <row r="6">
      <c r="A6" s="5" t="inlineStr">
        <is>
          <t>Risk free rate</t>
        </is>
      </c>
      <c r="B6" s="15" t="n">
        <v>0.0402</v>
      </c>
      <c r="D6" s="5" t="inlineStr">
        <is>
          <t>Dividend yield</t>
        </is>
      </c>
      <c r="E6" s="16">
        <f>DividendYield(B4)</f>
        <v/>
      </c>
      <c r="F6" s="5" t="inlineStr">
        <is>
          <t>IV 30 day</t>
        </is>
      </c>
      <c r="G6" s="16">
        <f>ImpliedVolatility30d(B4)</f>
        <v/>
      </c>
    </row>
    <row r="8" ht="18" customHeight="1">
      <c r="A8" s="2" t="inlineStr">
        <is>
          <t>THE FOUR LEGS</t>
        </is>
      </c>
    </row>
    <row r="9">
      <c r="A9" s="4" t="inlineStr">
        <is>
          <t>Leg</t>
        </is>
      </c>
      <c r="B9" s="4" t="inlineStr">
        <is>
          <t>Action</t>
        </is>
      </c>
      <c r="C9" s="4" t="inlineStr">
        <is>
          <t>Strike</t>
        </is>
      </c>
      <c r="D9" s="4" t="inlineStr">
        <is>
          <t>Fill price</t>
        </is>
      </c>
      <c r="E9" s="4" t="inlineStr">
        <is>
          <t>Contract symbol</t>
        </is>
      </c>
      <c r="F9" s="4" t="inlineStr">
        <is>
          <t>Cash flow</t>
        </is>
      </c>
      <c r="G9" s="4" t="inlineStr">
        <is>
          <t>MarketXLS formula</t>
        </is>
      </c>
    </row>
    <row r="10">
      <c r="A10" s="5" t="inlineStr">
        <is>
          <t>Long put</t>
        </is>
      </c>
      <c r="B10" s="17" t="inlineStr">
        <is>
          <t>Buy</t>
        </is>
      </c>
      <c r="C10" s="18" t="n">
        <v>735</v>
      </c>
      <c r="D10" s="11">
        <f>QM_Ask(E10)</f>
        <v/>
      </c>
      <c r="E10" s="6">
        <f>OptionSymbol($B$4,$B$5,"P",C10)</f>
        <v/>
      </c>
      <c r="F10" s="19">
        <f>-1*D10*100*G4</f>
        <v/>
      </c>
      <c r="G10" s="6">
        <f>QM_Ask(OptionSymbol(...))</f>
        <v/>
      </c>
    </row>
    <row r="11">
      <c r="A11" s="5" t="inlineStr">
        <is>
          <t>Short put</t>
        </is>
      </c>
      <c r="B11" s="20" t="inlineStr">
        <is>
          <t>Sell</t>
        </is>
      </c>
      <c r="C11" s="18" t="n">
        <v>745</v>
      </c>
      <c r="D11" s="11">
        <f>QM_Bid(E11)</f>
        <v/>
      </c>
      <c r="E11" s="6">
        <f>OptionSymbol($B$4,$B$5,"P",C11)</f>
        <v/>
      </c>
      <c r="F11" s="19">
        <f>1*D11*100*G4</f>
        <v/>
      </c>
      <c r="G11" s="6">
        <f>QM_Bid(OptionSymbol(...))</f>
        <v/>
      </c>
    </row>
    <row r="12">
      <c r="A12" s="5" t="inlineStr">
        <is>
          <t>Short call</t>
        </is>
      </c>
      <c r="B12" s="20" t="inlineStr">
        <is>
          <t>Sell</t>
        </is>
      </c>
      <c r="C12" s="18" t="n">
        <v>805</v>
      </c>
      <c r="D12" s="11">
        <f>QM_Bid(E12)</f>
        <v/>
      </c>
      <c r="E12" s="6">
        <f>OptionSymbol($B$4,$B$5,"C",C12)</f>
        <v/>
      </c>
      <c r="F12" s="19">
        <f>1*D12*100*G4</f>
        <v/>
      </c>
      <c r="G12" s="6">
        <f>QM_Bid(OptionSymbol(...))</f>
        <v/>
      </c>
    </row>
    <row r="13">
      <c r="A13" s="5" t="inlineStr">
        <is>
          <t>Long call</t>
        </is>
      </c>
      <c r="B13" s="17" t="inlineStr">
        <is>
          <t>Buy</t>
        </is>
      </c>
      <c r="C13" s="18" t="n">
        <v>815</v>
      </c>
      <c r="D13" s="11">
        <f>QM_Ask(E13)</f>
        <v/>
      </c>
      <c r="E13" s="6">
        <f>OptionSymbol($B$4,$B$5,"C",C13)</f>
        <v/>
      </c>
      <c r="F13" s="19">
        <f>-1*D13*100*G4</f>
        <v/>
      </c>
      <c r="G13" s="6">
        <f>QM_Ask(OptionSymbol(...))</f>
        <v/>
      </c>
    </row>
    <row r="15" ht="18" customHeight="1">
      <c r="A15" s="2" t="inlineStr">
        <is>
          <t>THE NET POSITION</t>
        </is>
      </c>
    </row>
    <row r="16">
      <c r="A16" s="4" t="inlineStr">
        <is>
          <t>Measure</t>
        </is>
      </c>
      <c r="B16" s="4" t="inlineStr">
        <is>
          <t>Value</t>
        </is>
      </c>
      <c r="C16" s="4" t="inlineStr"/>
      <c r="D16" s="4" t="inlineStr"/>
      <c r="E16" s="4" t="inlineStr"/>
      <c r="F16" s="4" t="inlineStr"/>
      <c r="G16" s="4" t="inlineStr">
        <is>
          <t>What it means</t>
        </is>
      </c>
    </row>
    <row r="17">
      <c r="A17" s="5" t="inlineStr">
        <is>
          <t>Net credit per share</t>
        </is>
      </c>
      <c r="B17" s="21">
        <f>(D11-D10)+(D12-D13)</f>
        <v/>
      </c>
      <c r="C17" s="22" t="inlineStr">
        <is>
          <t>What you collect. It sets the max profit, both breakevens and the max loss at once.</t>
        </is>
      </c>
    </row>
    <row r="18">
      <c r="A18" s="5" t="inlineStr">
        <is>
          <t>Net credit received</t>
        </is>
      </c>
      <c r="B18" s="11">
        <f>B17*100*G4</f>
        <v/>
      </c>
      <c r="C18" s="22" t="inlineStr">
        <is>
          <t>Credit times 100 times contracts.</t>
        </is>
      </c>
    </row>
    <row r="19">
      <c r="A19" s="5" t="inlineStr">
        <is>
          <t>Put wing width</t>
        </is>
      </c>
      <c r="B19" s="11">
        <f>C11-C10</f>
        <v/>
      </c>
      <c r="C19" s="22" t="inlineStr">
        <is>
          <t>Short put strike minus long put strike.</t>
        </is>
      </c>
    </row>
    <row r="20">
      <c r="A20" s="5" t="inlineStr">
        <is>
          <t>Call wing width</t>
        </is>
      </c>
      <c r="B20" s="11">
        <f>C13-C12</f>
        <v/>
      </c>
      <c r="C20" s="22" t="inlineStr">
        <is>
          <t>Long call strike minus short call strike.</t>
        </is>
      </c>
    </row>
    <row r="21">
      <c r="A21" s="5" t="inlineStr">
        <is>
          <t>Widest wing</t>
        </is>
      </c>
      <c r="B21" s="11">
        <f>MAX(B19,B20)</f>
        <v/>
      </c>
      <c r="C21" s="22" t="inlineStr">
        <is>
          <t>Only one wing can finish in the money, so risk is set by the wider of the two.</t>
        </is>
      </c>
    </row>
    <row r="22">
      <c r="A22" s="5" t="inlineStr">
        <is>
          <t>Maximum profit</t>
        </is>
      </c>
      <c r="B22" s="21">
        <f>B17*100*G4</f>
        <v/>
      </c>
      <c r="C22" s="22" t="inlineStr">
        <is>
          <t>Reached anywhere between the two short strikes.</t>
        </is>
      </c>
    </row>
    <row r="23">
      <c r="A23" s="5" t="inlineStr">
        <is>
          <t>Maximum loss</t>
        </is>
      </c>
      <c r="B23" s="21">
        <f>(B21-B17)*100*G4</f>
        <v/>
      </c>
      <c r="C23" s="22" t="inlineStr">
        <is>
          <t>Widest wing minus the credit. This is also the margin a defined risk condor ties up.</t>
        </is>
      </c>
    </row>
    <row r="24">
      <c r="A24" s="5" t="inlineStr">
        <is>
          <t>Lower breakeven</t>
        </is>
      </c>
      <c r="B24" s="21">
        <f>C11-B17</f>
        <v/>
      </c>
      <c r="C24" s="22" t="inlineStr">
        <is>
          <t>Short put strike minus the credit.</t>
        </is>
      </c>
    </row>
    <row r="25">
      <c r="A25" s="5" t="inlineStr">
        <is>
          <t>Upper breakeven</t>
        </is>
      </c>
      <c r="B25" s="21">
        <f>C12+B17</f>
        <v/>
      </c>
      <c r="C25" s="22" t="inlineStr">
        <is>
          <t>Short call strike plus the credit.</t>
        </is>
      </c>
    </row>
    <row r="26">
      <c r="A26" s="5" t="inlineStr">
        <is>
          <t>Breakeven width</t>
        </is>
      </c>
      <c r="B26" s="11">
        <f>B25-B24</f>
        <v/>
      </c>
      <c r="C26" s="22" t="inlineStr">
        <is>
          <t>How much room the underlying has in dollars.</t>
        </is>
      </c>
    </row>
    <row r="27">
      <c r="A27" s="5" t="inlineStr">
        <is>
          <t>Return on risk</t>
        </is>
      </c>
      <c r="B27" s="23">
        <f>B22/B23</f>
        <v/>
      </c>
      <c r="C27" s="22" t="inlineStr">
        <is>
          <t>Max profit divided by max loss.</t>
        </is>
      </c>
    </row>
    <row r="29" ht="18" customHeight="1">
      <c r="A29" s="2" t="inlineStr">
        <is>
          <t>THE ODDS</t>
        </is>
      </c>
    </row>
    <row r="30">
      <c r="A30" s="4" t="inlineStr">
        <is>
          <t>Measure</t>
        </is>
      </c>
      <c r="B30" s="4" t="inlineStr">
        <is>
          <t>Value</t>
        </is>
      </c>
      <c r="C30" s="4" t="inlineStr"/>
      <c r="D30" s="4" t="inlineStr"/>
      <c r="E30" s="4" t="inlineStr"/>
      <c r="F30" s="4" t="inlineStr"/>
      <c r="G30" s="4" t="inlineStr">
        <is>
          <t>What it means</t>
        </is>
      </c>
    </row>
    <row r="31">
      <c r="A31" s="5" t="inlineStr">
        <is>
          <t>Chance of full max profit</t>
        </is>
      </c>
      <c r="B31" s="23">
        <f>NORMSDIST((LN(C12/E4)-((B6-E6-0.5*G6^2)*(E5/365)))/(G6*SQRT((E5/365))))-NORMSDIST((LN(C11/E4)-((B6-E6-0.5*G6^2)*(E5/365)))/(G6*SQRT((E5/365))))</f>
        <v/>
      </c>
      <c r="C31" s="22" t="inlineStr">
        <is>
          <t>Finishes between the two short strikes.</t>
        </is>
      </c>
    </row>
    <row r="32">
      <c r="A32" s="5" t="inlineStr">
        <is>
          <t>Probability of profit</t>
        </is>
      </c>
      <c r="B32" s="23">
        <f>NORMSDIST((LN(B25/E4)-((B6-E6-0.5*G6^2)*(E5/365)))/(G6*SQRT((E5/365))))-NORMSDIST((LN(B24/E4)-((B6-E6-0.5*G6^2)*(E5/365)))/(G6*SQRT((E5/365))))</f>
        <v/>
      </c>
      <c r="C32" s="22" t="inlineStr">
        <is>
          <t>Finishes between the two breakevens. Wider than the max profit zone.</t>
        </is>
      </c>
    </row>
    <row r="33">
      <c r="A33" s="5" t="inlineStr">
        <is>
          <t>Chance of touching the short put</t>
        </is>
      </c>
      <c r="B33" s="23">
        <f>MIN(1,2*NORMSDIST(-ABS(LN(C11/E4))/(G6*SQRT((E5/365)))))</f>
        <v/>
      </c>
      <c r="C33" s="22" t="inlineStr">
        <is>
          <t>Trades through the short put at least once before expiry.</t>
        </is>
      </c>
    </row>
    <row r="34">
      <c r="A34" s="5" t="inlineStr">
        <is>
          <t>Chance of touching the short call</t>
        </is>
      </c>
      <c r="B34" s="23">
        <f>MIN(1,2*NORMSDIST(-ABS(LN(C12/E4))/(G6*SQRT((E5/365)))))</f>
        <v/>
      </c>
      <c r="C34" s="22" t="inlineStr">
        <is>
          <t>Trades through the short call at least once. Touch odds run far above finish odds.</t>
        </is>
      </c>
    </row>
    <row r="36">
      <c r="A36" s="7" t="inlineStr">
        <is>
          <t>The touch rows are the ones most calculators leave out. A condor that finishes inside its short strikes two times in three still gets one of its wings tested far more often than that, because the underlying only has to reach the strike once on any day, not sit there at expiry. Plan the adjustment before you need it.</t>
        </is>
      </c>
    </row>
    <row r="37"/>
    <row r="39">
      <c r="A39" s="24" t="inlineStr">
        <is>
          <t>MARKETXLS FUNCTIONS USED IN THIS SHEET</t>
        </is>
      </c>
    </row>
    <row r="40">
      <c r="A40" s="25">
        <f>QM_Last("SPY")</f>
        <v/>
      </c>
      <c r="B40" s="26" t="inlineStr">
        <is>
          <t>Spot price of the underlying</t>
        </is>
      </c>
    </row>
    <row r="41">
      <c r="A41" s="25">
        <f>OptionSymbol("SPY",DATE(2026,9,18),"P",745)</f>
        <v/>
      </c>
      <c r="B41" s="26" t="inlineStr">
        <is>
          <t>Builds the contract symbol every leg needs</t>
        </is>
      </c>
    </row>
    <row r="42">
      <c r="A42" s="25">
        <f>QM_Bid(optionSymbol)</f>
        <v/>
      </c>
      <c r="B42" s="26" t="inlineStr">
        <is>
          <t>Price you receive on the two legs you sell</t>
        </is>
      </c>
    </row>
    <row r="43">
      <c r="A43" s="25">
        <f>QM_Ask(optionSymbol)</f>
        <v/>
      </c>
      <c r="B43" s="26" t="inlineStr">
        <is>
          <t>Price you pay on the two legs you buy</t>
        </is>
      </c>
    </row>
    <row r="44">
      <c r="A44" s="25">
        <f>ImpliedVolatility30d("SPY")</f>
        <v/>
      </c>
      <c r="B44" s="26" t="inlineStr">
        <is>
          <t>30 day implied volatility, returned as a decimal</t>
        </is>
      </c>
    </row>
    <row r="45">
      <c r="A45" s="25">
        <f>DividendYield("SPY")</f>
        <v/>
      </c>
      <c r="B45" s="26" t="inlineStr">
        <is>
          <t>Dividend yield used in the drift term</t>
        </is>
      </c>
    </row>
    <row r="47">
      <c r="A47" s="9" t="inlineStr">
        <is>
          <t>Powered by MarketXLS   |   https://marketxls.com   |   Book a demo: https://marketxls.com/book-demo</t>
        </is>
      </c>
    </row>
  </sheetData>
  <mergeCells count="28">
    <mergeCell ref="C34:G34"/>
    <mergeCell ref="B42:G42"/>
    <mergeCell ref="A8:G8"/>
    <mergeCell ref="C24:G24"/>
    <mergeCell ref="C33:G33"/>
    <mergeCell ref="A29:G29"/>
    <mergeCell ref="A36:G37"/>
    <mergeCell ref="B44:G44"/>
    <mergeCell ref="C26:G26"/>
    <mergeCell ref="C20:G20"/>
    <mergeCell ref="C25:G25"/>
    <mergeCell ref="B40:G40"/>
    <mergeCell ref="A15:G15"/>
    <mergeCell ref="C31:G31"/>
    <mergeCell ref="C22:G22"/>
    <mergeCell ref="C21:G21"/>
    <mergeCell ref="A1:G1"/>
    <mergeCell ref="B45:G45"/>
    <mergeCell ref="B41:G41"/>
    <mergeCell ref="C27:G27"/>
    <mergeCell ref="C23:G23"/>
    <mergeCell ref="C17:G17"/>
    <mergeCell ref="C32:G32"/>
    <mergeCell ref="C19:G19"/>
    <mergeCell ref="A2:G2"/>
    <mergeCell ref="B43:G43"/>
    <mergeCell ref="C18:G18"/>
    <mergeCell ref="A47:G47"/>
  </mergeCell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G35"/>
  <sheetViews>
    <sheetView showGridLines="0" workbookViewId="0">
      <selection activeCell="A1" sqref="A1"/>
    </sheetView>
  </sheetViews>
  <sheetFormatPr baseColWidth="8" defaultRowHeight="15"/>
  <cols>
    <col width="18" customWidth="1" min="1" max="1"/>
    <col width="16" customWidth="1" min="2" max="2"/>
    <col width="16" customWidth="1" min="3" max="3"/>
    <col width="18" customWidth="1" min="4" max="4"/>
    <col width="18" customWidth="1" min="5" max="5"/>
    <col width="18" customWidth="1" min="6" max="6"/>
    <col width="26" customWidth="1" min="7" max="7"/>
  </cols>
  <sheetData>
    <row r="1" ht="24" customHeight="1">
      <c r="A1" s="1" t="inlineStr">
        <is>
          <t>PAYOFF AT EXPIRATION</t>
        </is>
      </c>
    </row>
    <row r="2" ht="18" customHeight="1">
      <c r="A2" s="2" t="inlineStr">
        <is>
          <t>Profit and loss on every leg across a ladder of closing prices</t>
        </is>
      </c>
    </row>
    <row r="4">
      <c r="A4" s="7" t="inlineStr">
        <is>
          <t>Modeled position: short the 745 put and 805 call, long the 735 put and 815 call, expiring 2026-09-18. Net credit 2.08 per share, so max profit is $208 and max loss is $792 per contract.</t>
        </is>
      </c>
    </row>
    <row r="5"/>
    <row r="7">
      <c r="A7" s="4" t="inlineStr">
        <is>
          <t>SPY at expiry</t>
        </is>
      </c>
      <c r="B7" s="4" t="inlineStr">
        <is>
          <t>Move from spot</t>
        </is>
      </c>
      <c r="C7" s="4" t="inlineStr">
        <is>
          <t>Long put</t>
        </is>
      </c>
      <c r="D7" s="4" t="inlineStr">
        <is>
          <t>Short put</t>
        </is>
      </c>
      <c r="E7" s="4" t="inlineStr">
        <is>
          <t>Short call</t>
        </is>
      </c>
      <c r="F7" s="4" t="inlineStr">
        <is>
          <t>Long call</t>
        </is>
      </c>
      <c r="G7" s="4" t="inlineStr">
        <is>
          <t>Net profit and loss</t>
        </is>
      </c>
    </row>
    <row r="8">
      <c r="A8" s="11" t="n">
        <v>700</v>
      </c>
      <c r="B8" s="27" t="n">
        <v>-0.09833320452379113</v>
      </c>
      <c r="C8" s="28" t="n">
        <v>3500</v>
      </c>
      <c r="D8" s="28" t="n">
        <v>-4500</v>
      </c>
      <c r="E8" s="28" t="n">
        <v>-0</v>
      </c>
      <c r="F8" s="28" t="n">
        <v>0</v>
      </c>
      <c r="G8" s="29" t="n">
        <v>-792</v>
      </c>
    </row>
    <row r="9">
      <c r="A9" s="11" t="n">
        <v>720</v>
      </c>
      <c r="B9" s="27" t="n">
        <v>-0.07257129608161372</v>
      </c>
      <c r="C9" s="28" t="n">
        <v>1500</v>
      </c>
      <c r="D9" s="28" t="n">
        <v>-2500</v>
      </c>
      <c r="E9" s="28" t="n">
        <v>-0</v>
      </c>
      <c r="F9" s="28" t="n">
        <v>0</v>
      </c>
      <c r="G9" s="29" t="n">
        <v>-792</v>
      </c>
    </row>
    <row r="10">
      <c r="A10" s="11" t="n">
        <v>730</v>
      </c>
      <c r="B10" s="27" t="n">
        <v>-0.05969034186052502</v>
      </c>
      <c r="C10" s="28" t="n">
        <v>500</v>
      </c>
      <c r="D10" s="28" t="n">
        <v>-1500</v>
      </c>
      <c r="E10" s="28" t="n">
        <v>-0</v>
      </c>
      <c r="F10" s="28" t="n">
        <v>0</v>
      </c>
      <c r="G10" s="29" t="n">
        <v>-792</v>
      </c>
    </row>
    <row r="11">
      <c r="A11" s="11" t="n">
        <v>735</v>
      </c>
      <c r="B11" s="27" t="n">
        <v>-0.05324986474998072</v>
      </c>
      <c r="C11" s="28" t="n">
        <v>0</v>
      </c>
      <c r="D11" s="28" t="n">
        <v>-1000</v>
      </c>
      <c r="E11" s="28" t="n">
        <v>-0</v>
      </c>
      <c r="F11" s="28" t="n">
        <v>0</v>
      </c>
      <c r="G11" s="29" t="n">
        <v>-792</v>
      </c>
    </row>
    <row r="12">
      <c r="A12" s="11" t="n">
        <v>740</v>
      </c>
      <c r="B12" s="27" t="n">
        <v>-0.04680938763943632</v>
      </c>
      <c r="C12" s="28" t="n">
        <v>0</v>
      </c>
      <c r="D12" s="28" t="n">
        <v>-500</v>
      </c>
      <c r="E12" s="28" t="n">
        <v>-0</v>
      </c>
      <c r="F12" s="28" t="n">
        <v>0</v>
      </c>
      <c r="G12" s="29" t="n">
        <v>-292</v>
      </c>
    </row>
    <row r="13">
      <c r="A13" s="30" t="n">
        <v>742.92</v>
      </c>
      <c r="B13" s="27" t="n">
        <v>-0.04304814900687848</v>
      </c>
      <c r="C13" s="28" t="n">
        <v>0</v>
      </c>
      <c r="D13" s="28" t="n">
        <v>-208.0000000000041</v>
      </c>
      <c r="E13" s="28" t="n">
        <v>-0</v>
      </c>
      <c r="F13" s="28" t="n">
        <v>0</v>
      </c>
      <c r="G13" s="31" t="n">
        <v>-4.085620730620576e-12</v>
      </c>
    </row>
    <row r="14">
      <c r="A14" s="11" t="n">
        <v>745</v>
      </c>
      <c r="B14" s="27" t="n">
        <v>-0.04036891052889202</v>
      </c>
      <c r="C14" s="28" t="n">
        <v>0</v>
      </c>
      <c r="D14" s="28" t="n">
        <v>-0</v>
      </c>
      <c r="E14" s="28" t="n">
        <v>-0</v>
      </c>
      <c r="F14" s="28" t="n">
        <v>0</v>
      </c>
      <c r="G14" s="32" t="n">
        <v>208</v>
      </c>
    </row>
    <row r="15">
      <c r="A15" s="11" t="n">
        <v>755</v>
      </c>
      <c r="B15" s="27" t="n">
        <v>-0.02748795630780332</v>
      </c>
      <c r="C15" s="28" t="n">
        <v>0</v>
      </c>
      <c r="D15" s="28" t="n">
        <v>-0</v>
      </c>
      <c r="E15" s="28" t="n">
        <v>-0</v>
      </c>
      <c r="F15" s="28" t="n">
        <v>0</v>
      </c>
      <c r="G15" s="32" t="n">
        <v>208</v>
      </c>
    </row>
    <row r="16">
      <c r="A16" s="11" t="n">
        <v>765</v>
      </c>
      <c r="B16" s="27" t="n">
        <v>-0.01460700208671462</v>
      </c>
      <c r="C16" s="28" t="n">
        <v>0</v>
      </c>
      <c r="D16" s="28" t="n">
        <v>-0</v>
      </c>
      <c r="E16" s="28" t="n">
        <v>-0</v>
      </c>
      <c r="F16" s="28" t="n">
        <v>0</v>
      </c>
      <c r="G16" s="32" t="n">
        <v>208</v>
      </c>
    </row>
    <row r="17">
      <c r="A17" s="11" t="n">
        <v>776.34</v>
      </c>
      <c r="B17" s="27" t="n">
        <v>0</v>
      </c>
      <c r="C17" s="28" t="n">
        <v>0</v>
      </c>
      <c r="D17" s="28" t="n">
        <v>-0</v>
      </c>
      <c r="E17" s="28" t="n">
        <v>-0</v>
      </c>
      <c r="F17" s="28" t="n">
        <v>0</v>
      </c>
      <c r="G17" s="32" t="n">
        <v>208</v>
      </c>
    </row>
    <row r="18">
      <c r="A18" s="11" t="n">
        <v>790</v>
      </c>
      <c r="B18" s="27" t="n">
        <v>0.0175953834660072</v>
      </c>
      <c r="C18" s="28" t="n">
        <v>0</v>
      </c>
      <c r="D18" s="28" t="n">
        <v>-0</v>
      </c>
      <c r="E18" s="28" t="n">
        <v>-0</v>
      </c>
      <c r="F18" s="28" t="n">
        <v>0</v>
      </c>
      <c r="G18" s="32" t="n">
        <v>208</v>
      </c>
    </row>
    <row r="19">
      <c r="A19" s="11" t="n">
        <v>800</v>
      </c>
      <c r="B19" s="27" t="n">
        <v>0.03047633768709579</v>
      </c>
      <c r="C19" s="28" t="n">
        <v>0</v>
      </c>
      <c r="D19" s="28" t="n">
        <v>-0</v>
      </c>
      <c r="E19" s="28" t="n">
        <v>-0</v>
      </c>
      <c r="F19" s="28" t="n">
        <v>0</v>
      </c>
      <c r="G19" s="32" t="n">
        <v>208</v>
      </c>
    </row>
    <row r="20">
      <c r="A20" s="11" t="n">
        <v>805</v>
      </c>
      <c r="B20" s="27" t="n">
        <v>0.0369168147976402</v>
      </c>
      <c r="C20" s="28" t="n">
        <v>0</v>
      </c>
      <c r="D20" s="28" t="n">
        <v>-0</v>
      </c>
      <c r="E20" s="28" t="n">
        <v>-0</v>
      </c>
      <c r="F20" s="28" t="n">
        <v>0</v>
      </c>
      <c r="G20" s="32" t="n">
        <v>208</v>
      </c>
    </row>
    <row r="21">
      <c r="A21" s="30" t="n">
        <v>807.08</v>
      </c>
      <c r="B21" s="27" t="n">
        <v>0.03959605327562676</v>
      </c>
      <c r="C21" s="28" t="n">
        <v>0</v>
      </c>
      <c r="D21" s="28" t="n">
        <v>-0</v>
      </c>
      <c r="E21" s="28" t="n">
        <v>-208.0000000000041</v>
      </c>
      <c r="F21" s="28" t="n">
        <v>0</v>
      </c>
      <c r="G21" s="31" t="n">
        <v>-4.085620730620576e-12</v>
      </c>
    </row>
    <row r="22">
      <c r="A22" s="11" t="n">
        <v>810</v>
      </c>
      <c r="B22" s="27" t="n">
        <v>0.0433572919081846</v>
      </c>
      <c r="C22" s="28" t="n">
        <v>0</v>
      </c>
      <c r="D22" s="28" t="n">
        <v>-0</v>
      </c>
      <c r="E22" s="28" t="n">
        <v>-500</v>
      </c>
      <c r="F22" s="28" t="n">
        <v>0</v>
      </c>
      <c r="G22" s="29" t="n">
        <v>-292</v>
      </c>
    </row>
    <row r="23">
      <c r="A23" s="11" t="n">
        <v>815</v>
      </c>
      <c r="B23" s="27" t="n">
        <v>0.04979776901872879</v>
      </c>
      <c r="C23" s="28" t="n">
        <v>0</v>
      </c>
      <c r="D23" s="28" t="n">
        <v>-0</v>
      </c>
      <c r="E23" s="28" t="n">
        <v>-1000</v>
      </c>
      <c r="F23" s="28" t="n">
        <v>0</v>
      </c>
      <c r="G23" s="29" t="n">
        <v>-792</v>
      </c>
    </row>
    <row r="24">
      <c r="A24" s="11" t="n">
        <v>825</v>
      </c>
      <c r="B24" s="27" t="n">
        <v>0.0626787232398176</v>
      </c>
      <c r="C24" s="28" t="n">
        <v>0</v>
      </c>
      <c r="D24" s="28" t="n">
        <v>-0</v>
      </c>
      <c r="E24" s="28" t="n">
        <v>-2000</v>
      </c>
      <c r="F24" s="28" t="n">
        <v>1000</v>
      </c>
      <c r="G24" s="29" t="n">
        <v>-792</v>
      </c>
    </row>
    <row r="25">
      <c r="A25" s="11" t="n">
        <v>840</v>
      </c>
      <c r="B25" s="27" t="n">
        <v>0.0820001545714506</v>
      </c>
      <c r="C25" s="28" t="n">
        <v>0</v>
      </c>
      <c r="D25" s="28" t="n">
        <v>-0</v>
      </c>
      <c r="E25" s="28" t="n">
        <v>-3500</v>
      </c>
      <c r="F25" s="28" t="n">
        <v>2500</v>
      </c>
      <c r="G25" s="29" t="n">
        <v>-792</v>
      </c>
    </row>
    <row r="27">
      <c r="A27" s="7" t="inlineStr">
        <is>
          <t>The two amber rows are the breakevens. Notice how flat the middle is: every close between 745 and 805 pays exactly the same $208. An iron condor does not reward being right about direction. It only rewards the underlying staying inside a range, which is why the strike choice matters more than the view.</t>
        </is>
      </c>
    </row>
    <row r="28"/>
    <row r="30">
      <c r="A30" s="24" t="inlineStr">
        <is>
          <t>MARKETXLS FUNCTIONS USED IN THIS SHEET</t>
        </is>
      </c>
    </row>
    <row r="31">
      <c r="A31" s="25">
        <f>OPT_IntrinsicValue(optionSymbol, stockPrice)</f>
        <v/>
      </c>
      <c r="B31" s="26" t="inlineStr">
        <is>
          <t>Intrinsic value of a leg at any spot price</t>
        </is>
      </c>
    </row>
    <row r="32">
      <c r="A32" s="25">
        <f>OPT_TimeValue(optionSymbol, optionPrice, stockPrice)</f>
        <v/>
      </c>
      <c r="B32" s="26" t="inlineStr">
        <is>
          <t>Time value still left in a leg</t>
        </is>
      </c>
    </row>
    <row r="33">
      <c r="A33" s="25">
        <f>QM_Last("SPY")</f>
        <v/>
      </c>
      <c r="B33" s="26" t="inlineStr">
        <is>
          <t>Spot price used for the move column</t>
        </is>
      </c>
    </row>
    <row r="35">
      <c r="A35" s="9" t="inlineStr">
        <is>
          <t>Powered by MarketXLS   |   https://marketxls.com   |   Book a demo: https://marketxls.com/book-demo</t>
        </is>
      </c>
    </row>
  </sheetData>
  <mergeCells count="8">
    <mergeCell ref="A1:G1"/>
    <mergeCell ref="A27:G28"/>
    <mergeCell ref="B31:G31"/>
    <mergeCell ref="A35:G35"/>
    <mergeCell ref="B32:G32"/>
    <mergeCell ref="A4:G5"/>
    <mergeCell ref="A2:G2"/>
    <mergeCell ref="B33:G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43"/>
  <sheetViews>
    <sheetView showGridLines="0" workbookViewId="0">
      <selection activeCell="A1" sqref="A1"/>
    </sheetView>
  </sheetViews>
  <sheetFormatPr baseColWidth="8" defaultRowHeight="15"/>
  <cols>
    <col width="22" customWidth="1" min="1" max="1"/>
    <col width="14" customWidth="1" min="2" max="2"/>
    <col width="14" customWidth="1" min="3" max="3"/>
    <col width="14" customWidth="1" min="4" max="4"/>
    <col width="14" customWidth="1" min="5" max="5"/>
    <col width="14" customWidth="1" min="6" max="6"/>
    <col width="12" customWidth="1" min="7" max="7"/>
    <col width="12" customWidth="1" min="8" max="8"/>
    <col width="12" customWidth="1" min="9" max="9"/>
    <col width="14" customWidth="1" min="10" max="10"/>
  </cols>
  <sheetData>
    <row r="1" ht="24" customHeight="1">
      <c r="A1" s="1" t="inlineStr">
        <is>
          <t>WING SELECTOR</t>
        </is>
      </c>
    </row>
    <row r="2" ht="18" customHeight="1">
      <c r="A2" s="2" t="inlineStr">
        <is>
          <t>Four strike configurations on the same underlying and the same expiry</t>
        </is>
      </c>
    </row>
    <row r="4">
      <c r="A4" s="4" t="inlineStr">
        <is>
          <t>Configuration</t>
        </is>
      </c>
      <c r="B4" s="4" t="inlineStr">
        <is>
          <t>Long put</t>
        </is>
      </c>
      <c r="C4" s="4" t="inlineStr">
        <is>
          <t>Short put</t>
        </is>
      </c>
      <c r="D4" s="4" t="inlineStr">
        <is>
          <t>Short call</t>
        </is>
      </c>
      <c r="E4" s="4" t="inlineStr">
        <is>
          <t>Long call</t>
        </is>
      </c>
      <c r="F4" s="4" t="inlineStr">
        <is>
          <t>Net credit</t>
        </is>
      </c>
      <c r="G4" s="4" t="inlineStr">
        <is>
          <t>Max profit</t>
        </is>
      </c>
      <c r="H4" s="4" t="inlineStr">
        <is>
          <t>Max loss</t>
        </is>
      </c>
      <c r="I4" s="4" t="inlineStr">
        <is>
          <t>Return on risk</t>
        </is>
      </c>
      <c r="J4" s="4" t="inlineStr">
        <is>
          <t>Chance of profit</t>
        </is>
      </c>
    </row>
    <row r="5">
      <c r="A5" s="5" t="inlineStr">
        <is>
          <t>Tight</t>
        </is>
      </c>
      <c r="B5" s="33" t="n">
        <v>745</v>
      </c>
      <c r="C5" s="33" t="n">
        <v>755</v>
      </c>
      <c r="D5" s="33" t="n">
        <v>795</v>
      </c>
      <c r="E5" s="33" t="n">
        <v>805</v>
      </c>
      <c r="F5" s="34" t="n">
        <v>3.65</v>
      </c>
      <c r="G5" s="33" t="n">
        <v>365</v>
      </c>
      <c r="H5" s="33" t="n">
        <v>635</v>
      </c>
      <c r="I5" s="23" t="n">
        <v>0.5748031496062992</v>
      </c>
      <c r="J5" s="23" t="n">
        <v>0.5473372168203827</v>
      </c>
    </row>
    <row r="6">
      <c r="A6" s="5" t="inlineStr">
        <is>
          <t>Standard</t>
        </is>
      </c>
      <c r="B6" s="33" t="n">
        <v>735</v>
      </c>
      <c r="C6" s="33" t="n">
        <v>745</v>
      </c>
      <c r="D6" s="33" t="n">
        <v>805</v>
      </c>
      <c r="E6" s="33" t="n">
        <v>815</v>
      </c>
      <c r="F6" s="34" t="n">
        <v>2.08</v>
      </c>
      <c r="G6" s="33" t="n">
        <v>208</v>
      </c>
      <c r="H6" s="33" t="n">
        <v>792</v>
      </c>
      <c r="I6" s="23" t="n">
        <v>0.2626262626262627</v>
      </c>
      <c r="J6" s="23" t="n">
        <v>0.6912733116172862</v>
      </c>
    </row>
    <row r="7">
      <c r="A7" s="5" t="inlineStr">
        <is>
          <t>Wide</t>
        </is>
      </c>
      <c r="B7" s="33" t="n">
        <v>725</v>
      </c>
      <c r="C7" s="33" t="n">
        <v>735</v>
      </c>
      <c r="D7" s="33" t="n">
        <v>815</v>
      </c>
      <c r="E7" s="33" t="n">
        <v>825</v>
      </c>
      <c r="F7" s="34" t="n">
        <v>1.15</v>
      </c>
      <c r="G7" s="33" t="n">
        <v>115</v>
      </c>
      <c r="H7" s="33" t="n">
        <v>885</v>
      </c>
      <c r="I7" s="23" t="n">
        <v>0.1299435028248588</v>
      </c>
      <c r="J7" s="23" t="n">
        <v>0.8077974945159752</v>
      </c>
    </row>
    <row r="8">
      <c r="A8" s="5" t="inlineStr">
        <is>
          <t>Narrow wings</t>
        </is>
      </c>
      <c r="B8" s="33" t="n">
        <v>740</v>
      </c>
      <c r="C8" s="33" t="n">
        <v>745</v>
      </c>
      <c r="D8" s="33" t="n">
        <v>805</v>
      </c>
      <c r="E8" s="33" t="n">
        <v>810</v>
      </c>
      <c r="F8" s="34" t="n">
        <v>1.18</v>
      </c>
      <c r="G8" s="33" t="n">
        <v>118</v>
      </c>
      <c r="H8" s="33" t="n">
        <v>382</v>
      </c>
      <c r="I8" s="23" t="n">
        <v>0.3089005235602095</v>
      </c>
      <c r="J8" s="23" t="n">
        <v>0.6775502065942454</v>
      </c>
    </row>
    <row r="10">
      <c r="A10" s="4" t="inlineStr">
        <is>
          <t>Configuration</t>
        </is>
      </c>
      <c r="B10" s="4" t="inlineStr">
        <is>
          <t>Lower BE</t>
        </is>
      </c>
      <c r="C10" s="4" t="inlineStr">
        <is>
          <t>Upper BE</t>
        </is>
      </c>
      <c r="D10" s="4" t="inlineStr">
        <is>
          <t>BE width</t>
        </is>
      </c>
      <c r="E10" s="4" t="inlineStr">
        <is>
          <t>Max profit zone</t>
        </is>
      </c>
      <c r="F10" s="4" t="inlineStr">
        <is>
          <t>Touch short put</t>
        </is>
      </c>
      <c r="G10" s="4" t="inlineStr">
        <is>
          <t>Touch short call</t>
        </is>
      </c>
      <c r="H10" s="4" t="inlineStr">
        <is>
          <t>Net delta</t>
        </is>
      </c>
      <c r="I10" s="4" t="inlineStr">
        <is>
          <t>Theta per day</t>
        </is>
      </c>
      <c r="J10" s="4" t="inlineStr">
        <is>
          <t>Vega per point</t>
        </is>
      </c>
    </row>
    <row r="11">
      <c r="A11" s="5" t="inlineStr">
        <is>
          <t>Tight</t>
        </is>
      </c>
      <c r="B11" s="11" t="n">
        <v>751.35</v>
      </c>
      <c r="C11" s="11" t="n">
        <v>798.65</v>
      </c>
      <c r="D11" s="11" t="n">
        <v>47.29999999999995</v>
      </c>
      <c r="E11" s="27" t="n">
        <v>0.4747223972280761</v>
      </c>
      <c r="F11" s="35" t="n">
        <v>0.4906707299138674</v>
      </c>
      <c r="G11" s="35" t="n">
        <v>0.5569813736903584</v>
      </c>
      <c r="H11" s="36" t="n">
        <v>-0.05184100898246921</v>
      </c>
      <c r="I11" s="11" t="n">
        <v>5.819636727635329</v>
      </c>
      <c r="J11" s="19" t="n">
        <v>-33.51816364232345</v>
      </c>
    </row>
    <row r="12">
      <c r="A12" s="5" t="inlineStr">
        <is>
          <t>Standard</t>
        </is>
      </c>
      <c r="B12" s="11" t="n">
        <v>742.92</v>
      </c>
      <c r="C12" s="11" t="n">
        <v>807.08</v>
      </c>
      <c r="D12" s="11" t="n">
        <v>64.16000000000008</v>
      </c>
      <c r="E12" s="27" t="n">
        <v>0.6589568225733056</v>
      </c>
      <c r="F12" s="35" t="n">
        <v>0.3082240637636962</v>
      </c>
      <c r="G12" s="35" t="n">
        <v>0.3700196279827221</v>
      </c>
      <c r="H12" s="36" t="n">
        <v>-0.03443017730807306</v>
      </c>
      <c r="I12" s="11" t="n">
        <v>5.391400453530315</v>
      </c>
      <c r="J12" s="19" t="n">
        <v>-32.38510592482828</v>
      </c>
    </row>
    <row r="13">
      <c r="A13" s="5" t="inlineStr">
        <is>
          <t>Wide</t>
        </is>
      </c>
      <c r="B13" s="11" t="n">
        <v>733.85</v>
      </c>
      <c r="C13" s="11" t="n">
        <v>816.15</v>
      </c>
      <c r="D13" s="11" t="n">
        <v>82.29999999999995</v>
      </c>
      <c r="E13" s="27" t="n">
        <v>0.7951583880563957</v>
      </c>
      <c r="F13" s="35" t="n">
        <v>0.1760158828163564</v>
      </c>
      <c r="G13" s="35" t="n">
        <v>0.229469740983844</v>
      </c>
      <c r="H13" s="36" t="n">
        <v>-0.01313198655019018</v>
      </c>
      <c r="I13" s="11" t="n">
        <v>4.046700431528897</v>
      </c>
      <c r="J13" s="19" t="n">
        <v>-24.81773197596031</v>
      </c>
    </row>
    <row r="14">
      <c r="A14" s="5" t="inlineStr">
        <is>
          <t>Narrow wings</t>
        </is>
      </c>
      <c r="B14" s="11" t="n">
        <v>743.8200000000001</v>
      </c>
      <c r="C14" s="11" t="n">
        <v>806.1799999999999</v>
      </c>
      <c r="D14" s="11" t="n">
        <v>62.3599999999999</v>
      </c>
      <c r="E14" s="27" t="n">
        <v>0.6589568225733056</v>
      </c>
      <c r="F14" s="35" t="n">
        <v>0.3082240637636962</v>
      </c>
      <c r="G14" s="35" t="n">
        <v>0.3700196279827221</v>
      </c>
      <c r="H14" s="36" t="n">
        <v>-0.01999384134809121</v>
      </c>
      <c r="I14" s="11" t="n">
        <v>2.86105757273178</v>
      </c>
      <c r="J14" s="19" t="n">
        <v>-16.95275714146195</v>
      </c>
    </row>
    <row r="16">
      <c r="A16" s="7" t="inlineStr">
        <is>
          <t>Read the return on risk column against the max loss column, not on its own. On this board the narrow wing condor returns 30.9% on risk against 26.3% for the standard one, and it does that while risking $382 instead of $792, with breakevens within a dollar of each other. Buying the closer long strike gave up very little credit here because the far wings were already cheap. That is not a general rule. It is what this specific board priced on this specific day, which is exactly why the comparison belongs in a spreadsheet rather than in a habit.</t>
        </is>
      </c>
    </row>
    <row r="17"/>
    <row r="18"/>
    <row r="20" ht="18" customHeight="1">
      <c r="A20" s="2" t="inlineStr">
        <is>
          <t>QUOTE BOARD USED</t>
        </is>
      </c>
    </row>
    <row r="21">
      <c r="A21" s="4" t="inlineStr">
        <is>
          <t>Put strike</t>
        </is>
      </c>
      <c r="B21" s="4" t="inlineStr">
        <is>
          <t>Bid</t>
        </is>
      </c>
      <c r="C21" s="4" t="inlineStr">
        <is>
          <t>Ask</t>
        </is>
      </c>
      <c r="D21" s="4" t="inlineStr">
        <is>
          <t>Implied vol</t>
        </is>
      </c>
      <c r="E21" s="4" t="inlineStr">
        <is>
          <t>Open interest</t>
        </is>
      </c>
      <c r="F21" s="4" t="inlineStr">
        <is>
          <t>Call strike</t>
        </is>
      </c>
      <c r="G21" s="4" t="inlineStr">
        <is>
          <t>Bid</t>
        </is>
      </c>
      <c r="H21" s="4" t="inlineStr">
        <is>
          <t>Ask</t>
        </is>
      </c>
      <c r="I21" s="4" t="inlineStr">
        <is>
          <t>Implied vol</t>
        </is>
      </c>
      <c r="J21" s="4" t="inlineStr">
        <is>
          <t>Open interest</t>
        </is>
      </c>
    </row>
    <row r="22">
      <c r="A22" s="33" t="n">
        <v>720</v>
      </c>
      <c r="B22" s="11" t="n">
        <v>1.91</v>
      </c>
      <c r="C22" s="11" t="n">
        <v>1.93</v>
      </c>
      <c r="D22" s="27" t="n">
        <v>0.186104</v>
      </c>
      <c r="E22" s="37" t="n">
        <v>34227</v>
      </c>
      <c r="F22" s="33" t="n">
        <v>790</v>
      </c>
      <c r="G22" s="11" t="n">
        <v>6</v>
      </c>
      <c r="H22" s="11" t="n">
        <v>6.07</v>
      </c>
      <c r="I22" s="27" t="n">
        <v>0.12037</v>
      </c>
      <c r="J22" s="37" t="n">
        <v>40922</v>
      </c>
    </row>
    <row r="23">
      <c r="A23" s="33" t="n">
        <v>725</v>
      </c>
      <c r="B23" s="11" t="n">
        <v>2.16</v>
      </c>
      <c r="C23" s="11" t="n">
        <v>2.18</v>
      </c>
      <c r="D23" s="27" t="n">
        <v>0.179207</v>
      </c>
      <c r="E23" s="37" t="n">
        <v>23994</v>
      </c>
      <c r="F23" s="33" t="n">
        <v>795</v>
      </c>
      <c r="G23" s="11" t="n">
        <v>4.34</v>
      </c>
      <c r="H23" s="11" t="n">
        <v>4.38</v>
      </c>
      <c r="I23" s="27" t="n">
        <v>0.116952</v>
      </c>
      <c r="J23" s="37" t="n">
        <v>14386</v>
      </c>
    </row>
    <row r="24">
      <c r="A24" s="33" t="n">
        <v>730</v>
      </c>
      <c r="B24" s="11" t="n">
        <v>2.46</v>
      </c>
      <c r="C24" s="11" t="n">
        <v>2.48</v>
      </c>
      <c r="D24" s="27" t="n">
        <v>0.172402</v>
      </c>
      <c r="E24" s="37" t="n">
        <v>40874</v>
      </c>
      <c r="F24" s="33" t="n">
        <v>800</v>
      </c>
      <c r="G24" s="11" t="n">
        <v>3.05</v>
      </c>
      <c r="H24" s="11" t="n">
        <v>3.08</v>
      </c>
      <c r="I24" s="27" t="n">
        <v>0.114328</v>
      </c>
      <c r="J24" s="37" t="n">
        <v>30225</v>
      </c>
    </row>
    <row r="25">
      <c r="A25" s="33" t="n">
        <v>735</v>
      </c>
      <c r="B25" s="11" t="n">
        <v>2.83</v>
      </c>
      <c r="C25" s="11" t="n">
        <v>2.85</v>
      </c>
      <c r="D25" s="27" t="n">
        <v>0.165902</v>
      </c>
      <c r="E25" s="37" t="n">
        <v>31731</v>
      </c>
      <c r="F25" s="33" t="n">
        <v>805</v>
      </c>
      <c r="G25" s="11" t="n">
        <v>2.09</v>
      </c>
      <c r="H25" s="11" t="n">
        <v>2.11</v>
      </c>
      <c r="I25" s="27" t="n">
        <v>0.112253</v>
      </c>
      <c r="J25" s="37" t="n">
        <v>5068</v>
      </c>
    </row>
    <row r="26">
      <c r="A26" s="33" t="n">
        <v>740</v>
      </c>
      <c r="B26" s="11" t="n">
        <v>3.26</v>
      </c>
      <c r="C26" s="11" t="n">
        <v>3.28</v>
      </c>
      <c r="D26" s="27" t="n">
        <v>0.159249</v>
      </c>
      <c r="E26" s="37" t="n">
        <v>20938</v>
      </c>
      <c r="F26" s="33" t="n">
        <v>810</v>
      </c>
      <c r="G26" s="11" t="n">
        <v>1.4</v>
      </c>
      <c r="H26" s="11" t="n">
        <v>1.42</v>
      </c>
      <c r="I26" s="27" t="n">
        <v>0.11091</v>
      </c>
      <c r="J26" s="37" t="n">
        <v>7802</v>
      </c>
    </row>
    <row r="27">
      <c r="A27" s="33" t="n">
        <v>745</v>
      </c>
      <c r="B27" s="11" t="n">
        <v>3.79</v>
      </c>
      <c r="C27" s="11" t="n">
        <v>3.82</v>
      </c>
      <c r="D27" s="27" t="n">
        <v>0.152963</v>
      </c>
      <c r="E27" s="37" t="n">
        <v>14687</v>
      </c>
      <c r="F27" s="33" t="n">
        <v>815</v>
      </c>
      <c r="G27" s="11" t="n">
        <v>0.93</v>
      </c>
      <c r="H27" s="11" t="n">
        <v>0.95</v>
      </c>
      <c r="I27" s="27" t="n">
        <v>0.11036</v>
      </c>
      <c r="J27" s="37" t="n">
        <v>12545</v>
      </c>
    </row>
    <row r="28">
      <c r="A28" s="33" t="n">
        <v>750</v>
      </c>
      <c r="B28" s="11" t="n">
        <v>4.44</v>
      </c>
      <c r="C28" s="11" t="n">
        <v>4.47</v>
      </c>
      <c r="D28" s="27" t="n">
        <v>0.146737</v>
      </c>
      <c r="E28" s="37" t="n">
        <v>24904</v>
      </c>
      <c r="F28" s="33" t="n">
        <v>820</v>
      </c>
      <c r="G28" s="11" t="n">
        <v>0.62</v>
      </c>
      <c r="H28" s="11" t="n">
        <v>0.63</v>
      </c>
      <c r="I28" s="27" t="n">
        <v>0.110238</v>
      </c>
      <c r="J28" s="37" t="n">
        <v>33603</v>
      </c>
    </row>
    <row r="29">
      <c r="A29" s="33" t="n">
        <v>755</v>
      </c>
      <c r="B29" s="11" t="n">
        <v>5.24</v>
      </c>
      <c r="C29" s="11" t="n">
        <v>5.26</v>
      </c>
      <c r="D29" s="27" t="n">
        <v>0.140573</v>
      </c>
      <c r="E29" s="37" t="n">
        <v>11049</v>
      </c>
      <c r="F29" s="33" t="n">
        <v>825</v>
      </c>
      <c r="G29" s="11" t="n">
        <v>0.42</v>
      </c>
      <c r="H29" s="11" t="n">
        <v>0.43</v>
      </c>
      <c r="I29" s="27" t="n">
        <v>0.111215</v>
      </c>
      <c r="J29" s="37" t="n">
        <v>9323</v>
      </c>
    </row>
    <row r="30">
      <c r="A30" s="33" t="n">
        <v>760</v>
      </c>
      <c r="B30" s="11" t="n">
        <v>6.22</v>
      </c>
      <c r="C30" s="11" t="n">
        <v>6.25</v>
      </c>
      <c r="D30" s="27" t="n">
        <v>0.134866</v>
      </c>
      <c r="E30" s="37" t="n">
        <v>28097</v>
      </c>
      <c r="F30" s="33" t="n">
        <v>830</v>
      </c>
      <c r="G30" s="11" t="n">
        <v>0.29</v>
      </c>
      <c r="H30" s="11" t="n">
        <v>0.3</v>
      </c>
      <c r="I30" s="27" t="n">
        <v>0.112802</v>
      </c>
      <c r="J30" s="37" t="n">
        <v>8160</v>
      </c>
    </row>
    <row r="31">
      <c r="A31" s="33" t="n">
        <v>765</v>
      </c>
      <c r="B31" s="11" t="n">
        <v>7.42</v>
      </c>
      <c r="C31" s="11" t="n">
        <v>7.47</v>
      </c>
      <c r="D31" s="27" t="n">
        <v>0.129434</v>
      </c>
      <c r="E31" s="37" t="n">
        <v>12623</v>
      </c>
      <c r="F31" s="33" t="n">
        <v>835</v>
      </c>
      <c r="G31" s="11" t="n">
        <v>0.21</v>
      </c>
      <c r="H31" s="11" t="n">
        <v>0.22</v>
      </c>
      <c r="I31" s="27" t="n">
        <v>0.115365</v>
      </c>
      <c r="J31" s="37" t="n">
        <v>4929</v>
      </c>
    </row>
    <row r="33">
      <c r="A33" s="7" t="inlineStr">
        <is>
          <t>The implied vol columns are not flat, and that is the skew. Puts 5% below the market carry a much higher implied vol than calls 5% above it, which is why the put spread pays more credit than the call spread at the same distance. A symmetric condor is therefore not a neutral one.</t>
        </is>
      </c>
    </row>
    <row r="34"/>
    <row r="36">
      <c r="A36" s="24" t="inlineStr">
        <is>
          <t>MARKETXLS FUNCTIONS USED IN THIS SHEET</t>
        </is>
      </c>
    </row>
    <row r="37">
      <c r="A37" s="25">
        <f>Strikes("SPY",DATE(2026,9,18))</f>
        <v/>
      </c>
      <c r="B37" s="26" t="inlineStr">
        <is>
          <t>Every listed strike for an expiry</t>
        </is>
      </c>
    </row>
    <row r="38">
      <c r="A38" s="25">
        <f>Expirations("SPY")</f>
        <v/>
      </c>
      <c r="B38" s="26" t="inlineStr">
        <is>
          <t>Every listed expiry for the underlying</t>
        </is>
      </c>
    </row>
    <row r="39">
      <c r="A39" s="25">
        <f>QM_Bid(optionSymbol) / =QM_Ask(optionSymbol)</f>
        <v/>
      </c>
      <c r="B39" s="26" t="inlineStr">
        <is>
          <t>Two sided quote on each candidate strike</t>
        </is>
      </c>
    </row>
    <row r="40">
      <c r="A40" s="25">
        <f>QM_OpenInterest(optionSymbol)</f>
        <v/>
      </c>
      <c r="B40" s="26" t="inlineStr">
        <is>
          <t>Open interest, the liquidity check before you size up</t>
        </is>
      </c>
    </row>
    <row r="41">
      <c r="A41" s="25">
        <f>opt_ImpliedVolatility(spot,price,expiry,"Put",strike)</f>
        <v/>
      </c>
      <c r="B41" s="26" t="inlineStr">
        <is>
          <t>Implied vol per strike, which reveals the skew</t>
        </is>
      </c>
    </row>
    <row r="43">
      <c r="A43" s="9" t="inlineStr">
        <is>
          <t>Powered by MarketXLS   |   https://marketxls.com   |   Book a demo: https://marketxls.com/book-demo</t>
        </is>
      </c>
    </row>
  </sheetData>
  <mergeCells count="11">
    <mergeCell ref="A1:J1"/>
    <mergeCell ref="B37:J37"/>
    <mergeCell ref="A16:J18"/>
    <mergeCell ref="B40:J40"/>
    <mergeCell ref="A33:J34"/>
    <mergeCell ref="B41:J41"/>
    <mergeCell ref="A20:J20"/>
    <mergeCell ref="A43:J43"/>
    <mergeCell ref="A2:J2"/>
    <mergeCell ref="B39:J39"/>
    <mergeCell ref="B38:J38"/>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6"/>
  <sheetViews>
    <sheetView showGridLines="0" workbookViewId="0">
      <selection activeCell="A1" sqref="A1"/>
    </sheetView>
  </sheetViews>
  <sheetFormatPr baseColWidth="8" defaultRowHeight="15"/>
  <cols>
    <col width="30" customWidth="1" min="1" max="1"/>
    <col width="16" customWidth="1" min="2" max="2"/>
    <col width="16" customWidth="1" min="3" max="3"/>
    <col width="16" customWidth="1" min="4" max="4"/>
    <col width="16" customWidth="1" min="5" max="5"/>
    <col width="16" customWidth="1" min="6" max="6"/>
    <col width="30" customWidth="1" min="7" max="7"/>
  </cols>
  <sheetData>
    <row r="1" ht="24" customHeight="1">
      <c r="A1" s="1" t="inlineStr">
        <is>
          <t>SCENARIO ANALYSIS</t>
        </is>
      </c>
    </row>
    <row r="2" ht="18" customHeight="1">
      <c r="A2" s="2" t="inlineStr">
        <is>
          <t>What moves the position before expiry, and by how much</t>
        </is>
      </c>
    </row>
    <row r="4" ht="18" customHeight="1">
      <c r="A4" s="2" t="inlineStr">
        <is>
          <t>PRICE MOVES, HELD TO EXPIRY</t>
        </is>
      </c>
    </row>
    <row r="5">
      <c r="A5" s="4" t="inlineStr">
        <is>
          <t>Scenario</t>
        </is>
      </c>
      <c r="B5" s="4" t="inlineStr">
        <is>
          <t>SPY at expiry</t>
        </is>
      </c>
      <c r="C5" s="4" t="inlineStr">
        <is>
          <t>Move</t>
        </is>
      </c>
      <c r="D5" s="4" t="inlineStr">
        <is>
          <t>Net profit and loss</t>
        </is>
      </c>
      <c r="E5" s="4" t="inlineStr">
        <is>
          <t>Share of max profit</t>
        </is>
      </c>
      <c r="F5" s="4" t="inlineStr">
        <is>
          <t>Share of max loss</t>
        </is>
      </c>
      <c r="G5" s="4" t="inlineStr">
        <is>
          <t>Comment</t>
        </is>
      </c>
    </row>
    <row r="6">
      <c r="A6" s="5" t="inlineStr">
        <is>
          <t>Sharp selloff</t>
        </is>
      </c>
      <c r="B6" s="11" t="n">
        <v>720</v>
      </c>
      <c r="C6" s="27" t="n">
        <v>-0.07257129608161372</v>
      </c>
      <c r="D6" s="29" t="n">
        <v>-792</v>
      </c>
      <c r="E6" s="38" t="n">
        <v>0</v>
      </c>
      <c r="F6" s="38" t="n">
        <v>1</v>
      </c>
      <c r="G6" s="6" t="inlineStr">
        <is>
          <t>Both put legs in the money. Full loss.</t>
        </is>
      </c>
    </row>
    <row r="7">
      <c r="A7" s="5" t="inlineStr">
        <is>
          <t>Correction to the long put</t>
        </is>
      </c>
      <c r="B7" s="11" t="n">
        <v>735</v>
      </c>
      <c r="C7" s="27" t="n">
        <v>-0.05324986474998072</v>
      </c>
      <c r="D7" s="29" t="n">
        <v>-792</v>
      </c>
      <c r="E7" s="38" t="n">
        <v>0</v>
      </c>
      <c r="F7" s="38" t="n">
        <v>1</v>
      </c>
      <c r="G7" s="6" t="inlineStr">
        <is>
          <t>The wing caps it here and not one dollar lower.</t>
        </is>
      </c>
    </row>
    <row r="8">
      <c r="A8" s="5" t="inlineStr">
        <is>
          <t>Drift down to the short put</t>
        </is>
      </c>
      <c r="B8" s="11" t="n">
        <v>745</v>
      </c>
      <c r="C8" s="27" t="n">
        <v>-0.04036891052889202</v>
      </c>
      <c r="D8" s="32" t="n">
        <v>208</v>
      </c>
      <c r="E8" s="38" t="n">
        <v>1</v>
      </c>
      <c r="F8" s="38" t="n">
        <v>0</v>
      </c>
      <c r="G8" s="6" t="inlineStr">
        <is>
          <t>Full credit kept, but with no room left.</t>
        </is>
      </c>
    </row>
    <row r="9">
      <c r="A9" s="5" t="inlineStr">
        <is>
          <t>Flat</t>
        </is>
      </c>
      <c r="B9" s="11" t="n">
        <v>776.34</v>
      </c>
      <c r="C9" s="27" t="n">
        <v>0</v>
      </c>
      <c r="D9" s="32" t="n">
        <v>208</v>
      </c>
      <c r="E9" s="38" t="n">
        <v>1</v>
      </c>
      <c r="F9" s="38" t="n">
        <v>0</v>
      </c>
      <c r="G9" s="6" t="inlineStr">
        <is>
          <t>The whole point of the position.</t>
        </is>
      </c>
    </row>
    <row r="10">
      <c r="A10" s="5" t="inlineStr">
        <is>
          <t>Grind higher</t>
        </is>
      </c>
      <c r="B10" s="11" t="n">
        <v>795</v>
      </c>
      <c r="C10" s="27" t="n">
        <v>0.02403586057655138</v>
      </c>
      <c r="D10" s="32" t="n">
        <v>208</v>
      </c>
      <c r="E10" s="38" t="n">
        <v>1</v>
      </c>
      <c r="F10" s="38" t="n">
        <v>0</v>
      </c>
      <c r="G10" s="6" t="inlineStr">
        <is>
          <t>Still inside the short call. Full credit.</t>
        </is>
      </c>
    </row>
    <row r="11">
      <c r="A11" s="5" t="inlineStr">
        <is>
          <t>Rally to the short call</t>
        </is>
      </c>
      <c r="B11" s="11" t="n">
        <v>805</v>
      </c>
      <c r="C11" s="27" t="n">
        <v>0.0369168147976402</v>
      </c>
      <c r="D11" s="32" t="n">
        <v>208</v>
      </c>
      <c r="E11" s="38" t="n">
        <v>1</v>
      </c>
      <c r="F11" s="38" t="n">
        <v>0</v>
      </c>
      <c r="G11" s="6" t="inlineStr">
        <is>
          <t>Full credit kept, on the other edge.</t>
        </is>
      </c>
    </row>
    <row r="12">
      <c r="A12" s="5" t="inlineStr">
        <is>
          <t>Breakout above the long call</t>
        </is>
      </c>
      <c r="B12" s="11" t="n">
        <v>815</v>
      </c>
      <c r="C12" s="27" t="n">
        <v>0.04979776901872879</v>
      </c>
      <c r="D12" s="29" t="n">
        <v>-792</v>
      </c>
      <c r="E12" s="38" t="n">
        <v>0</v>
      </c>
      <c r="F12" s="38" t="n">
        <v>1</v>
      </c>
      <c r="G12" s="6" t="inlineStr">
        <is>
          <t>Both call legs in the money. Full loss.</t>
        </is>
      </c>
    </row>
    <row r="15" ht="18" customHeight="1">
      <c r="A15" s="2" t="inlineStr">
        <is>
          <t>TIME AND VOLATILITY, POSITION UNCHANGED</t>
        </is>
      </c>
    </row>
    <row r="16">
      <c r="A16" s="4" t="inlineStr">
        <is>
          <t>Change</t>
        </is>
      </c>
      <c r="B16" s="4" t="inlineStr">
        <is>
          <t>Estimated effect</t>
        </is>
      </c>
      <c r="C16" s="4" t="inlineStr">
        <is>
          <t>On max profit</t>
        </is>
      </c>
      <c r="D16" s="4" t="inlineStr"/>
      <c r="E16" s="4" t="inlineStr"/>
      <c r="F16" s="4" t="inlineStr"/>
      <c r="G16" s="4" t="inlineStr">
        <is>
          <t>What it means</t>
        </is>
      </c>
    </row>
    <row r="17">
      <c r="A17" s="5" t="inlineStr">
        <is>
          <t>One day passes</t>
        </is>
      </c>
      <c r="B17" s="39" t="n">
        <v>5.391400453530315</v>
      </c>
      <c r="C17" s="27" t="n">
        <v>0.02592019448812651</v>
      </c>
      <c r="D17" s="22" t="inlineStr">
        <is>
          <t>Theta is the only leg of this position working for you.</t>
        </is>
      </c>
    </row>
    <row r="18">
      <c r="A18" s="5" t="inlineStr">
        <is>
          <t>One week passes</t>
        </is>
      </c>
      <c r="B18" s="39" t="n">
        <v>37.7398031747122</v>
      </c>
      <c r="C18" s="27" t="n">
        <v>0.1814413614168856</v>
      </c>
      <c r="D18" s="22" t="inlineStr">
        <is>
          <t>Decay is not linear. It accelerates into the last two weeks.</t>
        </is>
      </c>
    </row>
    <row r="19">
      <c r="A19" s="5" t="inlineStr">
        <is>
          <t>Implied vol rises 1 point</t>
        </is>
      </c>
      <c r="B19" s="40" t="n">
        <v>-32.38510592482828</v>
      </c>
      <c r="C19" s="27" t="n">
        <v>-0.1556976246385975</v>
      </c>
      <c r="D19" s="22" t="inlineStr">
        <is>
          <t>A short condor is short volatility. Rising vol hurts immediately.</t>
        </is>
      </c>
    </row>
    <row r="20">
      <c r="A20" s="5" t="inlineStr">
        <is>
          <t>Implied vol rises 3 points</t>
        </is>
      </c>
      <c r="B20" s="40" t="n">
        <v>-97.15531777448484</v>
      </c>
      <c r="C20" s="27" t="n">
        <v>-0.4670928739157925</v>
      </c>
      <c r="D20" s="22" t="inlineStr">
        <is>
          <t>A volatility spike can erase most of the credit without any price move.</t>
        </is>
      </c>
    </row>
    <row r="21">
      <c r="A21" s="5" t="inlineStr">
        <is>
          <t>Implied vol falls 2 points</t>
        </is>
      </c>
      <c r="B21" s="39" t="n">
        <v>64.77021184965656</v>
      </c>
      <c r="C21" s="27" t="n">
        <v>0.311395249277195</v>
      </c>
      <c r="D21" s="22" t="inlineStr">
        <is>
          <t>A vol crush is how these positions make money early.</t>
        </is>
      </c>
    </row>
    <row r="22">
      <c r="A22" s="5" t="inlineStr">
        <is>
          <t>SPY moves up 1 dollar</t>
        </is>
      </c>
      <c r="B22" s="40" t="n">
        <v>-3.443017730807306</v>
      </c>
      <c r="C22" s="27" t="n">
        <v>-0.01655296985965051</v>
      </c>
      <c r="D22" s="22" t="inlineStr">
        <is>
          <t>Net delta is small but not zero. Skew tilts it.</t>
        </is>
      </c>
    </row>
    <row r="23">
      <c r="A23" s="5" t="inlineStr">
        <is>
          <t>SPY moves up 10 dollars</t>
        </is>
      </c>
      <c r="B23" s="40" t="n">
        <v>-59.44451736176892</v>
      </c>
      <c r="C23" s="27" t="n">
        <v>-0.2857909488546583</v>
      </c>
      <c r="D23" s="22" t="inlineStr">
        <is>
          <t>Gamma works against you as the move grows.</t>
        </is>
      </c>
    </row>
    <row r="25">
      <c r="A25" s="7" t="inlineStr">
        <is>
          <t>Put the two together. This position earns about $5.39 a day from decay and loses about $32.39 for every point implied volatility rises. So a single point of vol expansion costs roughly 6 days of collected theta. That ratio, not the headline probability, is what decides whether a condor is worth holding through an event.</t>
        </is>
      </c>
    </row>
    <row r="26"/>
    <row r="27"/>
    <row r="29" ht="18" customHeight="1">
      <c r="A29" s="2" t="inlineStr">
        <is>
          <t>TAKING PROFIT EARLY</t>
        </is>
      </c>
    </row>
    <row r="30">
      <c r="A30" s="4" t="inlineStr">
        <is>
          <t>Close at</t>
        </is>
      </c>
      <c r="B30" s="4" t="inlineStr">
        <is>
          <t>Buy back the condor for</t>
        </is>
      </c>
      <c r="C30" s="4" t="inlineStr">
        <is>
          <t>Profit kept</t>
        </is>
      </c>
      <c r="D30" s="4" t="inlineStr">
        <is>
          <t>Still at risk</t>
        </is>
      </c>
      <c r="E30" s="4" t="inlineStr"/>
      <c r="F30" s="4" t="inlineStr"/>
      <c r="G30" s="4" t="inlineStr">
        <is>
          <t>Comment</t>
        </is>
      </c>
    </row>
    <row r="31">
      <c r="A31" s="5" t="inlineStr">
        <is>
          <t>25% of max profit</t>
        </is>
      </c>
      <c r="B31" s="11" t="n">
        <v>1.56</v>
      </c>
      <c r="C31" s="33" t="n">
        <v>52</v>
      </c>
      <c r="D31" s="33" t="n">
        <v>792</v>
      </c>
      <c r="E31" s="22" t="inlineStr">
        <is>
          <t>Closing early gives up the last of the credit and retires the whole max loss with it.</t>
        </is>
      </c>
    </row>
    <row r="32">
      <c r="A32" s="5" t="inlineStr">
        <is>
          <t>50% of max profit</t>
        </is>
      </c>
      <c r="B32" s="11" t="n">
        <v>1.04</v>
      </c>
      <c r="C32" s="33" t="n">
        <v>104</v>
      </c>
      <c r="D32" s="33" t="n">
        <v>792</v>
      </c>
      <c r="E32" s="22" t="inlineStr">
        <is>
          <t>Closing early gives up the last of the credit and retires the whole max loss with it.</t>
        </is>
      </c>
    </row>
    <row r="33">
      <c r="A33" s="5" t="inlineStr">
        <is>
          <t>75% of max profit</t>
        </is>
      </c>
      <c r="B33" s="11" t="n">
        <v>0.52</v>
      </c>
      <c r="C33" s="33" t="n">
        <v>156</v>
      </c>
      <c r="D33" s="33" t="n">
        <v>792</v>
      </c>
      <c r="E33" s="22" t="inlineStr">
        <is>
          <t>Closing early gives up the last of the credit and retires the whole max loss with it.</t>
        </is>
      </c>
    </row>
    <row r="34">
      <c r="A34" s="5" t="inlineStr">
        <is>
          <t>100% of max profit</t>
        </is>
      </c>
      <c r="B34" s="11" t="n">
        <v>0</v>
      </c>
      <c r="C34" s="33" t="n">
        <v>208</v>
      </c>
      <c r="D34" s="33" t="n">
        <v>0</v>
      </c>
      <c r="E34" s="22" t="inlineStr">
        <is>
          <t>Holding to expiry for the final dollars keeps full risk on for the smallest reward.</t>
        </is>
      </c>
    </row>
    <row r="36">
      <c r="A36" s="7" t="inlineStr">
        <is>
          <t>The last row is the argument for managing early. Going from 75% to 100% of max profit collects a further $52, and to earn it you keep $792 of risk on the table through the highest gamma stretch of the trade. The reward per unit of remaining risk is worst at the very end.</t>
        </is>
      </c>
    </row>
    <row r="37"/>
    <row r="39">
      <c r="A39" s="24" t="inlineStr">
        <is>
          <t>MARKETXLS FUNCTIONS USED IN THIS SHEET</t>
        </is>
      </c>
    </row>
    <row r="40">
      <c r="A40" s="25">
        <f>opt_Theta(spot,price,expiry,"Put",strike)</f>
        <v/>
      </c>
      <c r="B40" s="26" t="inlineStr">
        <is>
          <t>Daily decay per leg, summed across the four legs</t>
        </is>
      </c>
    </row>
    <row r="41">
      <c r="A41" s="25">
        <f>opt_Vega(spot,price,expiry,"Call",strike)</f>
        <v/>
      </c>
      <c r="B41" s="26" t="inlineStr">
        <is>
          <t>Sensitivity to a one point move in implied volatility</t>
        </is>
      </c>
    </row>
    <row r="42">
      <c r="A42" s="25">
        <f>opt_Delta(spot,price,expiry,"Call",strike)</f>
        <v/>
      </c>
      <c r="B42" s="26" t="inlineStr">
        <is>
          <t>Directional exposure per leg</t>
        </is>
      </c>
    </row>
    <row r="43">
      <c r="A43" s="25">
        <f>opt_Gamma(spot,price,expiry,"Put",strike)</f>
        <v/>
      </c>
      <c r="B43" s="26" t="inlineStr">
        <is>
          <t>How fast delta changes as the underlying moves</t>
        </is>
      </c>
    </row>
    <row r="44">
      <c r="A44" s="25">
        <f>ImpliedVolatilityRank1y("SPY")</f>
        <v/>
      </c>
      <c r="B44" s="26" t="inlineStr">
        <is>
          <t>Where current implied vol sits in its own one year range</t>
        </is>
      </c>
    </row>
    <row r="46">
      <c r="A46" s="9" t="inlineStr">
        <is>
          <t>Powered by MarketXLS   |   https://marketxls.com   |   Book a demo: https://marketxls.com/book-demo</t>
        </is>
      </c>
    </row>
  </sheetData>
  <mergeCells count="24">
    <mergeCell ref="D18:G18"/>
    <mergeCell ref="B42:G42"/>
    <mergeCell ref="E31:G31"/>
    <mergeCell ref="A4:G4"/>
    <mergeCell ref="E34:G34"/>
    <mergeCell ref="A29:G29"/>
    <mergeCell ref="A36:G37"/>
    <mergeCell ref="B44:G44"/>
    <mergeCell ref="D23:G23"/>
    <mergeCell ref="D20:G20"/>
    <mergeCell ref="B40:G40"/>
    <mergeCell ref="A15:G15"/>
    <mergeCell ref="D19:G19"/>
    <mergeCell ref="D22:G22"/>
    <mergeCell ref="E32:G32"/>
    <mergeCell ref="A1:G1"/>
    <mergeCell ref="B41:G41"/>
    <mergeCell ref="D21:G21"/>
    <mergeCell ref="A46:G46"/>
    <mergeCell ref="D17:G17"/>
    <mergeCell ref="E33:G33"/>
    <mergeCell ref="A25:G27"/>
    <mergeCell ref="A2:G2"/>
    <mergeCell ref="B43:G4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40"/>
  <sheetViews>
    <sheetView showGridLines="0" workbookViewId="0">
      <selection activeCell="A1" sqref="A1"/>
    </sheetView>
  </sheetViews>
  <sheetFormatPr baseColWidth="8" defaultRowHeight="15"/>
  <cols>
    <col width="22" customWidth="1" min="1" max="1"/>
    <col width="14" customWidth="1" min="2" max="2"/>
    <col width="14" customWidth="1" min="3" max="3"/>
    <col width="14" customWidth="1" min="4" max="4"/>
    <col width="14" customWidth="1" min="5" max="5"/>
    <col width="14" customWidth="1" min="6" max="6"/>
    <col width="30" customWidth="1" min="7" max="7"/>
  </cols>
  <sheetData>
    <row r="1" ht="24" customHeight="1">
      <c r="A1" s="1" t="inlineStr">
        <is>
          <t>POSITION GREEKS AND RISK</t>
        </is>
      </c>
    </row>
    <row r="2" ht="18" customHeight="1">
      <c r="A2" s="2" t="inlineStr">
        <is>
          <t>Every leg, then the net that actually describes the position</t>
        </is>
      </c>
    </row>
    <row r="4">
      <c r="A4" s="4" t="inlineStr">
        <is>
          <t>Leg</t>
        </is>
      </c>
      <c r="B4" s="4" t="inlineStr">
        <is>
          <t>Strike</t>
        </is>
      </c>
      <c r="C4" s="4" t="inlineStr">
        <is>
          <t>Delta</t>
        </is>
      </c>
      <c r="D4" s="4" t="inlineStr">
        <is>
          <t>Gamma</t>
        </is>
      </c>
      <c r="E4" s="4" t="inlineStr">
        <is>
          <t>Theta per day</t>
        </is>
      </c>
      <c r="F4" s="4" t="inlineStr">
        <is>
          <t>Vega per point</t>
        </is>
      </c>
      <c r="G4" s="4" t="inlineStr">
        <is>
          <t>MarketXLS formula</t>
        </is>
      </c>
    </row>
    <row r="5">
      <c r="A5" s="5" t="inlineStr">
        <is>
          <t>Long put</t>
        </is>
      </c>
      <c r="B5" s="33" t="n">
        <v>735</v>
      </c>
      <c r="C5" s="36" t="n">
        <v>-0.12295376911175</v>
      </c>
      <c r="D5" s="41" t="n">
        <v>0.005175022300917403</v>
      </c>
      <c r="E5" s="19" t="n">
        <v>-10.96915295234984</v>
      </c>
      <c r="F5" s="19" t="n">
        <v>48.20075338160811</v>
      </c>
      <c r="G5" s="6">
        <f>opt_Delta(spot,2.85,expiry,"Put",735)</f>
        <v/>
      </c>
    </row>
    <row r="6">
      <c r="A6" s="5" t="inlineStr">
        <is>
          <t>Short put</t>
        </is>
      </c>
      <c r="B6" s="33" t="n">
        <v>745</v>
      </c>
      <c r="C6" s="36" t="n">
        <v>0.1672894388688537</v>
      </c>
      <c r="D6" s="41" t="n">
        <v>-0.006907740417796049</v>
      </c>
      <c r="E6" s="19" t="n">
        <v>12.26880855138293</v>
      </c>
      <c r="F6" s="19" t="n">
        <v>-59.32153507492259</v>
      </c>
      <c r="G6" s="6">
        <f>opt_Delta(spot,3.79,expiry,"Put",745)</f>
        <v/>
      </c>
    </row>
    <row r="7">
      <c r="A7" s="5" t="inlineStr">
        <is>
          <t>Short call</t>
        </is>
      </c>
      <c r="B7" s="33" t="n">
        <v>805</v>
      </c>
      <c r="C7" s="36" t="n">
        <v>-0.1679521188795763</v>
      </c>
      <c r="D7" s="41" t="n">
        <v>-0.009436912962887135</v>
      </c>
      <c r="E7" s="19" t="n">
        <v>10.83492808109964</v>
      </c>
      <c r="F7" s="19" t="n">
        <v>-59.47273144955334</v>
      </c>
      <c r="G7" s="6">
        <f>opt_Delta(spot,2.09,expiry,"Call",805)</f>
        <v/>
      </c>
    </row>
    <row r="8">
      <c r="A8" s="5" t="inlineStr">
        <is>
          <t>Long call</t>
        </is>
      </c>
      <c r="B8" s="33" t="n">
        <v>815</v>
      </c>
      <c r="C8" s="36" t="n">
        <v>0.08918627181439946</v>
      </c>
      <c r="D8" s="41" t="n">
        <v>0.00616676306902661</v>
      </c>
      <c r="E8" s="19" t="n">
        <v>-6.743183226602427</v>
      </c>
      <c r="F8" s="19" t="n">
        <v>38.20840721803954</v>
      </c>
      <c r="G8" s="6">
        <f>opt_Delta(spot,0.95,expiry,"Call",815)</f>
        <v/>
      </c>
    </row>
    <row r="9">
      <c r="A9" s="42" t="inlineStr">
        <is>
          <t>NET POSITION</t>
        </is>
      </c>
      <c r="B9" s="43" t="inlineStr"/>
      <c r="C9" s="44" t="n">
        <v>-0.03443017730807306</v>
      </c>
      <c r="D9" s="45" t="n">
        <v>-0.00500286801073917</v>
      </c>
      <c r="E9" s="21" t="n">
        <v>5.391400453530315</v>
      </c>
      <c r="F9" s="46" t="n">
        <v>-32.38510592482828</v>
      </c>
      <c r="G9" s="43" t="inlineStr">
        <is>
          <t>Sum of the four legs</t>
        </is>
      </c>
    </row>
    <row r="11" ht="18" customHeight="1">
      <c r="A11" s="2" t="inlineStr">
        <is>
          <t>WHAT EACH NET NUMBER TELLS YOU</t>
        </is>
      </c>
    </row>
    <row r="12">
      <c r="A12" s="4" t="inlineStr">
        <is>
          <t>Greek</t>
        </is>
      </c>
      <c r="B12" s="4" t="inlineStr">
        <is>
          <t>Net value</t>
        </is>
      </c>
      <c r="C12" s="4" t="inlineStr">
        <is>
          <t>Reading</t>
        </is>
      </c>
      <c r="D12" s="4" t="inlineStr"/>
      <c r="E12" s="4" t="inlineStr"/>
      <c r="F12" s="4" t="inlineStr"/>
      <c r="G12" s="4" t="inlineStr"/>
    </row>
    <row r="13">
      <c r="A13" s="5" t="inlineStr">
        <is>
          <t>Delta</t>
        </is>
      </c>
      <c r="B13" s="47" t="n">
        <v>-0.03443017730807306</v>
      </c>
      <c r="C13" s="26" t="inlineStr">
        <is>
          <t>Equivalent to being short 3.4 shares. Close to neutral, but skew tilts a symmetric condor slightly short.</t>
        </is>
      </c>
    </row>
    <row r="14">
      <c r="A14" s="5" t="inlineStr">
        <is>
          <t>Gamma</t>
        </is>
      </c>
      <c r="B14" s="47" t="n">
        <v>-0.00500286801073917</v>
      </c>
      <c r="C14" s="26" t="inlineStr">
        <is>
          <t>Negative. Delta moves against you in both directions, and it does so faster as expiry approaches.</t>
        </is>
      </c>
    </row>
    <row r="15">
      <c r="A15" s="5" t="inlineStr">
        <is>
          <t>Theta</t>
        </is>
      </c>
      <c r="B15" s="48" t="n">
        <v>5.391400453530315</v>
      </c>
      <c r="C15" s="26" t="inlineStr">
        <is>
          <t>Positive, about $5.39 a day per contract. This is the only greek working in your favor.</t>
        </is>
      </c>
    </row>
    <row r="16">
      <c r="A16" s="5" t="inlineStr">
        <is>
          <t>Vega</t>
        </is>
      </c>
      <c r="B16" s="48" t="n">
        <v>-32.38510592482828</v>
      </c>
      <c r="C16" s="26" t="inlineStr">
        <is>
          <t>Negative, about $32.39 per point of implied vol. The position is a short volatility trade wearing a range trade costume.</t>
        </is>
      </c>
    </row>
    <row r="19" ht="18" customHeight="1">
      <c r="A19" s="2" t="inlineStr">
        <is>
          <t>FINISH ODDS AGAINST TOUCH ODDS</t>
        </is>
      </c>
    </row>
    <row r="20">
      <c r="A20" s="4" t="inlineStr">
        <is>
          <t>Level</t>
        </is>
      </c>
      <c r="B20" s="4" t="inlineStr">
        <is>
          <t>Price</t>
        </is>
      </c>
      <c r="C20" s="4" t="inlineStr">
        <is>
          <t>Distance</t>
        </is>
      </c>
      <c r="D20" s="4" t="inlineStr">
        <is>
          <t>Chance of finishing past it</t>
        </is>
      </c>
      <c r="E20" s="4" t="inlineStr">
        <is>
          <t>Chance of touching it</t>
        </is>
      </c>
      <c r="F20" s="4" t="inlineStr">
        <is>
          <t>Ratio</t>
        </is>
      </c>
      <c r="G20" s="4" t="inlineStr">
        <is>
          <t>Comment</t>
        </is>
      </c>
    </row>
    <row r="21">
      <c r="A21" s="5" t="inlineStr">
        <is>
          <t>Long put</t>
        </is>
      </c>
      <c r="B21" s="11" t="n">
        <v>735</v>
      </c>
      <c r="C21" s="27" t="n">
        <v>-0.05324986474998072</v>
      </c>
      <c r="D21" s="27" t="n">
        <v>0.08073195431287084</v>
      </c>
      <c r="E21" s="49" t="n">
        <v>0.1760158828163564</v>
      </c>
      <c r="F21" s="50" t="n">
        <v>2.180250488353343</v>
      </c>
      <c r="G21" s="6" t="inlineStr">
        <is>
          <t>Touch odds run near double the finish odds</t>
        </is>
      </c>
    </row>
    <row r="22">
      <c r="A22" s="5" t="inlineStr">
        <is>
          <t>Short put</t>
        </is>
      </c>
      <c r="B22" s="11" t="n">
        <v>745</v>
      </c>
      <c r="C22" s="27" t="n">
        <v>-0.04036891052889202</v>
      </c>
      <c r="D22" s="27" t="n">
        <v>0.1432126906209824</v>
      </c>
      <c r="E22" s="49" t="n">
        <v>0.3082240637636962</v>
      </c>
      <c r="F22" s="50" t="n">
        <v>2.152211947329601</v>
      </c>
      <c r="G22" s="6" t="inlineStr">
        <is>
          <t>Touch odds run near double the finish odds</t>
        </is>
      </c>
    </row>
    <row r="23">
      <c r="A23" s="5" t="inlineStr">
        <is>
          <t>Lower breakeven</t>
        </is>
      </c>
      <c r="B23" s="11" t="n">
        <v>742.92</v>
      </c>
      <c r="C23" s="27" t="n">
        <v>-0.04304814900687848</v>
      </c>
      <c r="D23" s="27" t="n">
        <v>0.1281599465975922</v>
      </c>
      <c r="E23" s="49" t="n">
        <v>0.2765546265945724</v>
      </c>
      <c r="F23" s="50" t="n">
        <v>2.157886562351051</v>
      </c>
      <c r="G23" s="6" t="inlineStr">
        <is>
          <t>Touch odds run near double the finish odds</t>
        </is>
      </c>
    </row>
    <row r="24">
      <c r="A24" s="5" t="inlineStr">
        <is>
          <t>Upper breakeven</t>
        </is>
      </c>
      <c r="B24" s="11" t="n">
        <v>807.08</v>
      </c>
      <c r="C24" s="27" t="n">
        <v>0.03959605327562676</v>
      </c>
      <c r="D24" s="27" t="n">
        <v>0.1805667417851216</v>
      </c>
      <c r="E24" s="49" t="n">
        <v>0.3369304295028539</v>
      </c>
      <c r="F24" s="50" t="n">
        <v>1.865960620277507</v>
      </c>
      <c r="G24" s="6" t="inlineStr">
        <is>
          <t>Touch odds run near double the finish odds</t>
        </is>
      </c>
    </row>
    <row r="25">
      <c r="A25" s="5" t="inlineStr">
        <is>
          <t>Short call</t>
        </is>
      </c>
      <c r="B25" s="11" t="n">
        <v>805</v>
      </c>
      <c r="C25" s="27" t="n">
        <v>0.0369168147976402</v>
      </c>
      <c r="D25" s="27" t="n">
        <v>0.1978304868057121</v>
      </c>
      <c r="E25" s="49" t="n">
        <v>0.3700196279827221</v>
      </c>
      <c r="F25" s="50" t="n">
        <v>1.870387289427821</v>
      </c>
      <c r="G25" s="6" t="inlineStr">
        <is>
          <t>Touch odds run near double the finish odds</t>
        </is>
      </c>
    </row>
    <row r="26">
      <c r="A26" s="5" t="inlineStr">
        <is>
          <t>Long call</t>
        </is>
      </c>
      <c r="B26" s="11" t="n">
        <v>815</v>
      </c>
      <c r="C26" s="27" t="n">
        <v>0.04979776901872879</v>
      </c>
      <c r="D26" s="27" t="n">
        <v>0.1241096576307334</v>
      </c>
      <c r="E26" s="49" t="n">
        <v>0.229469740983844</v>
      </c>
      <c r="F26" s="50" t="n">
        <v>1.84892735476389</v>
      </c>
      <c r="G26" s="6" t="inlineStr">
        <is>
          <t>Touch odds run near double the finish odds</t>
        </is>
      </c>
    </row>
    <row r="28">
      <c r="A28" s="7" t="inlineStr">
        <is>
          <t>This table is the honest one. The chance the underlying finishes past a short strike is roughly half the chance it gets there at some point along the way. If your plan is to adjust when a wing is tested, then the touch column is your real trade frequency, not the finish column. Size the position against the number you will actually have to act on.</t>
        </is>
      </c>
    </row>
    <row r="29"/>
    <row r="30"/>
    <row r="32">
      <c r="A32" s="24" t="inlineStr">
        <is>
          <t>MARKETXLS FUNCTIONS USED IN THIS SHEET</t>
        </is>
      </c>
    </row>
    <row r="33">
      <c r="A33" s="25">
        <f>opt_Delta(spot,optPrice,expiry,"Put",strike,rate,divYield,sigma)</f>
        <v/>
      </c>
      <c r="B33" s="26" t="inlineStr">
        <is>
          <t>Delta. Note the eight argument order</t>
        </is>
      </c>
    </row>
    <row r="34">
      <c r="A34" s="25">
        <f>opt_Gamma(...)</f>
        <v/>
      </c>
      <c r="B34" s="26" t="inlineStr">
        <is>
          <t>Gamma, same argument order</t>
        </is>
      </c>
    </row>
    <row r="35">
      <c r="A35" s="25">
        <f>opt_Theta(...)</f>
        <v/>
      </c>
      <c r="B35" s="26" t="inlineStr">
        <is>
          <t>Theta, same argument order</t>
        </is>
      </c>
    </row>
    <row r="36">
      <c r="A36" s="25">
        <f>opt_Vega(...)</f>
        <v/>
      </c>
      <c r="B36" s="26" t="inlineStr">
        <is>
          <t>Vega, same argument order</t>
        </is>
      </c>
    </row>
    <row r="37">
      <c r="A37" s="25">
        <f>opt_ImpliedVolatility(spot,optPrice,expiry,"Put",strike)</f>
        <v/>
      </c>
      <c r="B37" s="26" t="inlineStr">
        <is>
          <t>Back out implied vol from a traded price</t>
        </is>
      </c>
    </row>
    <row r="38">
      <c r="A38" s="25">
        <f>StockVolatilityThirtyDays("SPY")</f>
        <v/>
      </c>
      <c r="B38" s="26" t="inlineStr">
        <is>
          <t>Realized 30 day volatility, to compare against implied</t>
        </is>
      </c>
    </row>
    <row r="40">
      <c r="A40" s="9" t="inlineStr">
        <is>
          <t>Powered by MarketXLS   |   https://marketxls.com   |   Book a demo: https://marketxls.com/book-demo</t>
        </is>
      </c>
    </row>
  </sheetData>
  <mergeCells count="16">
    <mergeCell ref="B38:G38"/>
    <mergeCell ref="B34:G34"/>
    <mergeCell ref="A1:G1"/>
    <mergeCell ref="A40:G40"/>
    <mergeCell ref="B36:G36"/>
    <mergeCell ref="B37:G37"/>
    <mergeCell ref="C16:G16"/>
    <mergeCell ref="C15:G15"/>
    <mergeCell ref="B35:G35"/>
    <mergeCell ref="A2:G2"/>
    <mergeCell ref="A28:G30"/>
    <mergeCell ref="C14:G14"/>
    <mergeCell ref="C13:G13"/>
    <mergeCell ref="A19:G19"/>
    <mergeCell ref="A11:G11"/>
    <mergeCell ref="B33:G33"/>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6"/>
  <sheetViews>
    <sheetView showGridLines="0" workbookViewId="0">
      <selection activeCell="A1" sqref="A1"/>
    </sheetView>
  </sheetViews>
  <sheetFormatPr baseColWidth="8" defaultRowHeight="15"/>
  <cols>
    <col width="56" customWidth="1" min="1" max="1"/>
    <col width="46" customWidth="1" min="2" max="2"/>
    <col width="34" customWidth="1" min="3" max="3"/>
  </cols>
  <sheetData>
    <row r="1" ht="24" customHeight="1">
      <c r="A1" s="1" t="inlineStr">
        <is>
          <t>MARKETXLS FORMULA REFERENCE</t>
        </is>
      </c>
    </row>
    <row r="2" ht="18" customHeight="1">
      <c r="A2" s="2" t="inlineStr">
        <is>
          <t>Every function used in this workbook, with its exact argument order</t>
        </is>
      </c>
    </row>
    <row r="4">
      <c r="A4" s="7" t="inlineStr">
        <is>
          <t>Copy any row into your own sheet and change the symbol. The contract level functions all need a contract symbol, which OptionSymbol builds for you. Build the symbol once in a cell and point the rest of the row at it rather than nesting the call four times.</t>
        </is>
      </c>
    </row>
    <row r="5"/>
    <row r="7" ht="18" customHeight="1">
      <c r="A7" s="2" t="inlineStr">
        <is>
          <t>UNDERLYING</t>
        </is>
      </c>
    </row>
    <row r="8">
      <c r="A8" s="4" t="inlineStr">
        <is>
          <t>Formula</t>
        </is>
      </c>
      <c r="B8" s="4" t="inlineStr">
        <is>
          <t>Returns</t>
        </is>
      </c>
      <c r="C8" s="4" t="inlineStr">
        <is>
          <t>Used for</t>
        </is>
      </c>
    </row>
    <row r="9">
      <c r="A9" s="25">
        <f>QM_Last("SPY")</f>
        <v/>
      </c>
      <c r="B9" s="6" t="inlineStr">
        <is>
          <t>Last traded price</t>
        </is>
      </c>
      <c r="C9" s="6" t="inlineStr">
        <is>
          <t>Spot for every calculation</t>
        </is>
      </c>
    </row>
    <row r="10">
      <c r="A10" s="25">
        <f>QM_Bid("SPY") / =QM_Ask("SPY")</f>
        <v/>
      </c>
      <c r="B10" s="6" t="inlineStr">
        <is>
          <t>Two sided quote</t>
        </is>
      </c>
      <c r="C10" s="6" t="inlineStr">
        <is>
          <t>Spread check before sizing</t>
        </is>
      </c>
    </row>
    <row r="11">
      <c r="A11" s="25">
        <f>DividendYield("SPY")</f>
        <v/>
      </c>
      <c r="B11" s="6" t="inlineStr">
        <is>
          <t>Dividend yield as a decimal</t>
        </is>
      </c>
      <c r="C11" s="6" t="inlineStr">
        <is>
          <t>Drift term in the odds</t>
        </is>
      </c>
    </row>
    <row r="12">
      <c r="A12" s="25">
        <f>AverageDailyVolume("SPY")</f>
        <v/>
      </c>
      <c r="B12" s="6" t="inlineStr">
        <is>
          <t>Average daily share volume</t>
        </is>
      </c>
      <c r="C12" s="6" t="inlineStr">
        <is>
          <t>Liquidity screen</t>
        </is>
      </c>
    </row>
    <row r="13">
      <c r="A13" s="25">
        <f>earnings_date("AAPL")</f>
        <v/>
      </c>
      <c r="B13" s="6" t="inlineStr">
        <is>
          <t>Next earnings date</t>
        </is>
      </c>
      <c r="C13" s="6" t="inlineStr">
        <is>
          <t>Avoid holding a condor over the print</t>
        </is>
      </c>
    </row>
    <row r="15" ht="18" customHeight="1">
      <c r="A15" s="2" t="inlineStr">
        <is>
          <t>BUILDING A CONTRACT SYMBOL</t>
        </is>
      </c>
    </row>
    <row r="16">
      <c r="A16" s="4" t="inlineStr">
        <is>
          <t>Formula</t>
        </is>
      </c>
      <c r="B16" s="4" t="inlineStr">
        <is>
          <t>Returns</t>
        </is>
      </c>
      <c r="C16" s="4" t="inlineStr">
        <is>
          <t>Used for</t>
        </is>
      </c>
    </row>
    <row r="17">
      <c r="A17" s="25">
        <f>OptionSymbol("SPY",DATE(2026,9,18),"P",745)</f>
        <v/>
      </c>
      <c r="B17" s="6" t="inlineStr">
        <is>
          <t>Builds @SPY  260918P00745000</t>
        </is>
      </c>
      <c r="C17" s="6" t="inlineStr">
        <is>
          <t>Every contract function needs this</t>
        </is>
      </c>
    </row>
    <row r="18">
      <c r="A18" s="25">
        <f>Expirations("SPY")</f>
        <v/>
      </c>
      <c r="B18" s="6" t="inlineStr">
        <is>
          <t>Listed expiry dates</t>
        </is>
      </c>
      <c r="C18" s="6" t="inlineStr">
        <is>
          <t>Pick the cycle</t>
        </is>
      </c>
    </row>
    <row r="19">
      <c r="A19" s="25">
        <f>Strikes("SPY",DATE(2026,9,18))</f>
        <v/>
      </c>
      <c r="B19" s="6" t="inlineStr">
        <is>
          <t>Listed strikes for an expiry</t>
        </is>
      </c>
      <c r="C19" s="6" t="inlineStr">
        <is>
          <t>Build the quote board</t>
        </is>
      </c>
    </row>
    <row r="20">
      <c r="A20" s="25">
        <f>ExpirationNext("SPY",1)</f>
        <v/>
      </c>
      <c r="B20" s="6" t="inlineStr">
        <is>
          <t>The next expiry date</t>
        </is>
      </c>
      <c r="C20" s="6" t="inlineStr">
        <is>
          <t>Roll automation</t>
        </is>
      </c>
    </row>
    <row r="21">
      <c r="A21" s="25">
        <f>OPT_DaysToExpiration(optionSymbol)</f>
        <v/>
      </c>
      <c r="B21" s="6" t="inlineStr">
        <is>
          <t>Calendar days left</t>
        </is>
      </c>
      <c r="C21" s="6" t="inlineStr">
        <is>
          <t>Drives the time term</t>
        </is>
      </c>
    </row>
    <row r="23" ht="18" customHeight="1">
      <c r="A23" s="2" t="inlineStr">
        <is>
          <t>CONTRACT LEVEL PRICES</t>
        </is>
      </c>
    </row>
    <row r="24">
      <c r="A24" s="4" t="inlineStr">
        <is>
          <t>Formula</t>
        </is>
      </c>
      <c r="B24" s="4" t="inlineStr">
        <is>
          <t>Returns</t>
        </is>
      </c>
      <c r="C24" s="4" t="inlineStr">
        <is>
          <t>Used for</t>
        </is>
      </c>
    </row>
    <row r="25">
      <c r="A25" s="25">
        <f>QM_Bid(optionSymbol)</f>
        <v/>
      </c>
      <c r="B25" s="6" t="inlineStr">
        <is>
          <t>Bid on the contract</t>
        </is>
      </c>
      <c r="C25" s="6" t="inlineStr">
        <is>
          <t>What you receive on a leg you sell</t>
        </is>
      </c>
    </row>
    <row r="26">
      <c r="A26" s="25">
        <f>QM_Ask(optionSymbol)</f>
        <v/>
      </c>
      <c r="B26" s="6" t="inlineStr">
        <is>
          <t>Ask on the contract</t>
        </is>
      </c>
      <c r="C26" s="6" t="inlineStr">
        <is>
          <t>What you pay on a leg you buy</t>
        </is>
      </c>
    </row>
    <row r="27">
      <c r="A27" s="25">
        <f>QM_Last(optionSymbol)</f>
        <v/>
      </c>
      <c r="B27" s="6" t="inlineStr">
        <is>
          <t>Last traded price</t>
        </is>
      </c>
      <c r="C27" s="6" t="inlineStr">
        <is>
          <t>Reference only, not a fill</t>
        </is>
      </c>
    </row>
    <row r="28">
      <c r="A28" s="25">
        <f>QM_OpenInterest(optionSymbol)</f>
        <v/>
      </c>
      <c r="B28" s="6" t="inlineStr">
        <is>
          <t>Open interest</t>
        </is>
      </c>
      <c r="C28" s="6" t="inlineStr">
        <is>
          <t>Liquidity per strike</t>
        </is>
      </c>
    </row>
    <row r="29">
      <c r="A29" s="25">
        <f>OPT_IntrinsicValue(optionSymbol,spot)</f>
        <v/>
      </c>
      <c r="B29" s="6" t="inlineStr">
        <is>
          <t>Intrinsic value</t>
        </is>
      </c>
      <c r="C29" s="6" t="inlineStr">
        <is>
          <t>Payoff table</t>
        </is>
      </c>
    </row>
    <row r="30">
      <c r="A30" s="25">
        <f>OPT_TimeValue(optionSymbol,optPrice,spot)</f>
        <v/>
      </c>
      <c r="B30" s="6" t="inlineStr">
        <is>
          <t>Time value</t>
        </is>
      </c>
      <c r="C30" s="6" t="inlineStr">
        <is>
          <t>What decay still has to work on</t>
        </is>
      </c>
    </row>
    <row r="32" ht="18" customHeight="1">
      <c r="A32" s="2" t="inlineStr">
        <is>
          <t>GREEKS - EIGHT ARGUMENTS</t>
        </is>
      </c>
    </row>
    <row r="33">
      <c r="A33" s="4" t="inlineStr">
        <is>
          <t>Formula</t>
        </is>
      </c>
      <c r="B33" s="4" t="inlineStr">
        <is>
          <t>Returns</t>
        </is>
      </c>
      <c r="C33" s="4" t="inlineStr">
        <is>
          <t>Used for</t>
        </is>
      </c>
    </row>
    <row r="34">
      <c r="A34" s="25">
        <f>opt_Delta(spot,optPrice,expiry,"Put",strike,rate,divYield,sigma)</f>
        <v/>
      </c>
      <c r="B34" s="6" t="inlineStr">
        <is>
          <t>Delta</t>
        </is>
      </c>
      <c r="C34" s="6" t="inlineStr">
        <is>
          <t>Last three arguments are optional</t>
        </is>
      </c>
    </row>
    <row r="35">
      <c r="A35" s="25">
        <f>opt_Gamma(spot,optPrice,expiry,"Put",strike)</f>
        <v/>
      </c>
      <c r="B35" s="6" t="inlineStr">
        <is>
          <t>Gamma</t>
        </is>
      </c>
      <c r="C35" s="6" t="inlineStr">
        <is>
          <t>Same order</t>
        </is>
      </c>
    </row>
    <row r="36">
      <c r="A36" s="25">
        <f>opt_Theta(spot,optPrice,expiry,"Call",strike)</f>
        <v/>
      </c>
      <c r="B36" s="6" t="inlineStr">
        <is>
          <t>Theta per year</t>
        </is>
      </c>
      <c r="C36" s="6" t="inlineStr">
        <is>
          <t>Divide by 365 for daily</t>
        </is>
      </c>
    </row>
    <row r="37">
      <c r="A37" s="25">
        <f>opt_Vega(spot,optPrice,expiry,"Call",strike)</f>
        <v/>
      </c>
      <c r="B37" s="6" t="inlineStr">
        <is>
          <t>Vega per point</t>
        </is>
      </c>
      <c r="C37" s="6" t="inlineStr">
        <is>
          <t>Scale for a full point</t>
        </is>
      </c>
    </row>
    <row r="38">
      <c r="A38" s="25">
        <f>opt_Rho(spot,optPrice,expiry,"Put",strike)</f>
        <v/>
      </c>
      <c r="B38" s="6" t="inlineStr">
        <is>
          <t>Rho</t>
        </is>
      </c>
      <c r="C38" s="6" t="inlineStr">
        <is>
          <t>Minor at 34 days</t>
        </is>
      </c>
    </row>
    <row r="39">
      <c r="A39" s="25">
        <f>opt_ImpliedVolatility(spot,optPrice,expiry,"Put",strike)</f>
        <v/>
      </c>
      <c r="B39" s="6" t="inlineStr">
        <is>
          <t>Implied vol from a price</t>
        </is>
      </c>
      <c r="C39" s="6" t="inlineStr">
        <is>
          <t>Same order minus sigma</t>
        </is>
      </c>
    </row>
    <row r="41" ht="18" customHeight="1">
      <c r="A41" s="2" t="inlineStr">
        <is>
          <t>VOLATILITY CONTEXT</t>
        </is>
      </c>
    </row>
    <row r="42">
      <c r="A42" s="4" t="inlineStr">
        <is>
          <t>Formula</t>
        </is>
      </c>
      <c r="B42" s="4" t="inlineStr">
        <is>
          <t>Returns</t>
        </is>
      </c>
      <c r="C42" s="4" t="inlineStr">
        <is>
          <t>Used for</t>
        </is>
      </c>
    </row>
    <row r="43">
      <c r="A43" s="25">
        <f>ImpliedVolatility30d("SPY")</f>
        <v/>
      </c>
      <c r="B43" s="6" t="inlineStr">
        <is>
          <t>30 day implied vol as a decimal</t>
        </is>
      </c>
      <c r="C43" s="6" t="inlineStr">
        <is>
          <t>Odds calculations</t>
        </is>
      </c>
    </row>
    <row r="44">
      <c r="A44" s="25">
        <f>ImpliedVolatilityRank1y("SPY")</f>
        <v/>
      </c>
      <c r="B44" s="6" t="inlineStr">
        <is>
          <t>Rank within the one year range</t>
        </is>
      </c>
      <c r="C44" s="6" t="inlineStr">
        <is>
          <t>Is the credit rich or thin</t>
        </is>
      </c>
    </row>
    <row r="45">
      <c r="A45" s="25">
        <f>ImpliedVolatilityPct1y("SPY")</f>
        <v/>
      </c>
      <c r="B45" s="6" t="inlineStr">
        <is>
          <t>Percentile within one year</t>
        </is>
      </c>
      <c r="C45" s="6" t="inlineStr">
        <is>
          <t>Same question, different lens</t>
        </is>
      </c>
    </row>
    <row r="46">
      <c r="A46" s="25">
        <f>StockVolatilityThirtyDays("SPY")</f>
        <v/>
      </c>
      <c r="B46" s="6" t="inlineStr">
        <is>
          <t>Realized 30 day vol</t>
        </is>
      </c>
      <c r="C46" s="6" t="inlineStr">
        <is>
          <t>Compare implied against realized</t>
        </is>
      </c>
    </row>
    <row r="47">
      <c r="A47" s="25">
        <f>opt_PutCallOIRatio("SPY")</f>
        <v/>
      </c>
      <c r="B47" s="6" t="inlineStr">
        <is>
          <t>Put to call open interest ratio</t>
        </is>
      </c>
      <c r="C47" s="6" t="inlineStr">
        <is>
          <t>Positioning context</t>
        </is>
      </c>
    </row>
    <row r="49">
      <c r="A49" s="7" t="inlineStr">
        <is>
          <t>Two argument order traps worth remembering. The greek functions take eight arguments and the dividend yield sits between the risk free rate and sigma, so a five argument call is fine but a seven argument one is probably wrong. And OptionSymbol wants a real date, so use DATE(2026,9,18) or a cell reference rather than a text string.</t>
        </is>
      </c>
    </row>
    <row r="50"/>
    <row r="51"/>
    <row r="53">
      <c r="A53" s="8" t="inlineStr">
        <is>
          <t>MarketXLS: https://marketxls.com</t>
        </is>
      </c>
    </row>
    <row r="54">
      <c r="A54" s="8" t="inlineStr">
        <is>
          <t>Book a demo: https://marketxls.com/book-demo</t>
        </is>
      </c>
    </row>
    <row r="56">
      <c r="A56" s="9" t="inlineStr">
        <is>
          <t>Powered by MarketXLS   |   https://marketxls.com   |   Book a demo: https://marketxls.com/book-demo</t>
        </is>
      </c>
    </row>
  </sheetData>
  <mergeCells count="10">
    <mergeCell ref="A41:C41"/>
    <mergeCell ref="A1:C1"/>
    <mergeCell ref="A23:C23"/>
    <mergeCell ref="A32:C32"/>
    <mergeCell ref="A49:C51"/>
    <mergeCell ref="A56:C56"/>
    <mergeCell ref="A4:C5"/>
    <mergeCell ref="A15:C15"/>
    <mergeCell ref="A7:C7"/>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2026-08-15T17:59:21Z</dcterms:created>
  <dcterms:modified xsi:type="dcterms:W3CDTF">2026-08-15T17:59:21Z</dcterms:modified>
</cp:coreProperties>
</file>